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BFO\Annual Reports\"/>
    </mc:Choice>
  </mc:AlternateContent>
  <bookViews>
    <workbookView xWindow="1050" yWindow="75" windowWidth="27765" windowHeight="6600" tabRatio="738" activeTab="1"/>
  </bookViews>
  <sheets>
    <sheet name="FY2015" sheetId="12" r:id="rId1"/>
    <sheet name="FY2014" sheetId="7" r:id="rId2"/>
    <sheet name="FY2013" sheetId="9" r:id="rId3"/>
    <sheet name="FY2012" sheetId="10" r:id="rId4"/>
    <sheet name="FY2011" sheetId="11" r:id="rId5"/>
  </sheets>
  <definedNames>
    <definedName name="_xlnm.Print_Area" localSheetId="4">'FY2011'!$A$1:$AA$109</definedName>
    <definedName name="_xlnm.Print_Area" localSheetId="3">'FY2012'!$A$1:$AF$109</definedName>
    <definedName name="_xlnm.Print_Area" localSheetId="2">'FY2013'!$A$1:$AF$109</definedName>
    <definedName name="_xlnm.Print_Area" localSheetId="1">'FY2014'!$A$1:$AH$109</definedName>
    <definedName name="_xlnm.Print_Area" localSheetId="0">'FY2015'!$A$1:$AM$109</definedName>
    <definedName name="_xlnm.Print_Titles" localSheetId="4">'FY2011'!$A:$A,'FY2011'!$1:$6</definedName>
    <definedName name="_xlnm.Print_Titles" localSheetId="3">'FY2012'!$A:$A,'FY2012'!$1:$6</definedName>
    <definedName name="_xlnm.Print_Titles" localSheetId="2">'FY2013'!$A:$A,'FY2013'!$1:$6</definedName>
    <definedName name="_xlnm.Print_Titles" localSheetId="1">'FY2014'!$A:$A,'FY2014'!$1:$6</definedName>
    <definedName name="_xlnm.Print_Titles" localSheetId="0">'FY2015'!$A:$A,'FY2015'!$1:$6</definedName>
  </definedNames>
  <calcPr calcId="162913"/>
</workbook>
</file>

<file path=xl/calcChain.xml><?xml version="1.0" encoding="utf-8"?>
<calcChain xmlns="http://schemas.openxmlformats.org/spreadsheetml/2006/main">
  <c r="AF55" i="9" l="1"/>
  <c r="AM109" i="12"/>
  <c r="AM108" i="12"/>
  <c r="AM32" i="12"/>
  <c r="P51" i="12"/>
  <c r="E51" i="12"/>
  <c r="E57" i="12"/>
  <c r="E105" i="12" s="1"/>
  <c r="E99" i="12"/>
  <c r="F51" i="12"/>
  <c r="G51" i="12"/>
  <c r="H51" i="12"/>
  <c r="I51" i="12"/>
  <c r="J51" i="12"/>
  <c r="K51" i="12"/>
  <c r="L51" i="12"/>
  <c r="L99" i="12" s="1"/>
  <c r="L57" i="12"/>
  <c r="L105" i="12" s="1"/>
  <c r="M51" i="12"/>
  <c r="N51" i="12"/>
  <c r="O51" i="12"/>
  <c r="Q51" i="12"/>
  <c r="Q58" i="12" s="1"/>
  <c r="Q106" i="12" s="1"/>
  <c r="R51" i="12"/>
  <c r="S51" i="12"/>
  <c r="T51" i="12"/>
  <c r="V51" i="12"/>
  <c r="W51" i="12"/>
  <c r="X51" i="12"/>
  <c r="X57" i="12"/>
  <c r="X105" i="12"/>
  <c r="Y51" i="12"/>
  <c r="Z51" i="12"/>
  <c r="AA51" i="12"/>
  <c r="AB51" i="12"/>
  <c r="AC51" i="12"/>
  <c r="AD51" i="12"/>
  <c r="AD99" i="12"/>
  <c r="AE51" i="12"/>
  <c r="AG51" i="12"/>
  <c r="AH51" i="12"/>
  <c r="AI51" i="12"/>
  <c r="AI99" i="12"/>
  <c r="AJ51" i="12"/>
  <c r="AJ99" i="12" s="1"/>
  <c r="AK51" i="12"/>
  <c r="C51" i="7"/>
  <c r="D51" i="7"/>
  <c r="E51" i="7"/>
  <c r="F51" i="7"/>
  <c r="G51" i="7"/>
  <c r="G57" i="7"/>
  <c r="G105" i="7"/>
  <c r="H51" i="7"/>
  <c r="I51" i="7"/>
  <c r="J51" i="7"/>
  <c r="K51" i="7"/>
  <c r="K57" i="7" s="1"/>
  <c r="L51" i="7"/>
  <c r="L57" i="7" s="1"/>
  <c r="M51" i="7"/>
  <c r="N51" i="7"/>
  <c r="O51" i="7"/>
  <c r="P51" i="7"/>
  <c r="Q51" i="7"/>
  <c r="R51" i="7"/>
  <c r="S51" i="7"/>
  <c r="T51" i="7"/>
  <c r="U51" i="7"/>
  <c r="V51" i="7"/>
  <c r="W51" i="7"/>
  <c r="X51" i="7"/>
  <c r="X57" i="7"/>
  <c r="Y51" i="7"/>
  <c r="Z51" i="7"/>
  <c r="AA51" i="7"/>
  <c r="AB51" i="7"/>
  <c r="AC51" i="7"/>
  <c r="AD51" i="7"/>
  <c r="AE51" i="7"/>
  <c r="AF51" i="7"/>
  <c r="B51" i="7"/>
  <c r="C51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U51" i="9"/>
  <c r="V51" i="9"/>
  <c r="V57" i="9"/>
  <c r="V105" i="9" s="1"/>
  <c r="W51" i="9"/>
  <c r="X51" i="9"/>
  <c r="Y51" i="9"/>
  <c r="Z51" i="9"/>
  <c r="AA51" i="9"/>
  <c r="AB51" i="9"/>
  <c r="AC51" i="9"/>
  <c r="AD51" i="9"/>
  <c r="B51" i="9"/>
  <c r="AD51" i="10"/>
  <c r="AC51" i="10"/>
  <c r="AB51" i="10"/>
  <c r="AA51" i="10"/>
  <c r="Z51" i="10"/>
  <c r="Y51" i="10"/>
  <c r="Y58" i="10" s="1"/>
  <c r="Y106" i="10" s="1"/>
  <c r="X51" i="10"/>
  <c r="W51" i="10"/>
  <c r="V51" i="10"/>
  <c r="V57" i="10"/>
  <c r="U51" i="10"/>
  <c r="T51" i="10"/>
  <c r="S51" i="10"/>
  <c r="R51" i="10"/>
  <c r="P51" i="10"/>
  <c r="O51" i="10"/>
  <c r="O57" i="10"/>
  <c r="O105" i="10"/>
  <c r="N51" i="10"/>
  <c r="M51" i="10"/>
  <c r="L51" i="10"/>
  <c r="K51" i="10"/>
  <c r="J51" i="10"/>
  <c r="I51" i="10"/>
  <c r="H51" i="10"/>
  <c r="G51" i="10"/>
  <c r="G57" i="10"/>
  <c r="G105" i="10" s="1"/>
  <c r="F51" i="10"/>
  <c r="E51" i="10"/>
  <c r="D51" i="10"/>
  <c r="C51" i="10"/>
  <c r="B51" i="10"/>
  <c r="AF49" i="10"/>
  <c r="AA86" i="12"/>
  <c r="AI82" i="12"/>
  <c r="S75" i="12"/>
  <c r="AI72" i="12"/>
  <c r="AG72" i="12"/>
  <c r="AJ69" i="12"/>
  <c r="AI64" i="12"/>
  <c r="R64" i="12"/>
  <c r="AM55" i="12"/>
  <c r="AM53" i="12"/>
  <c r="AM52" i="12"/>
  <c r="AF50" i="12"/>
  <c r="AF51" i="12" s="1"/>
  <c r="AF98" i="12"/>
  <c r="U50" i="12"/>
  <c r="U51" i="12"/>
  <c r="D50" i="12"/>
  <c r="D51" i="12" s="1"/>
  <c r="C50" i="12"/>
  <c r="C51" i="12"/>
  <c r="B50" i="12"/>
  <c r="AM50" i="12" s="1"/>
  <c r="B98" i="12"/>
  <c r="AM49" i="12"/>
  <c r="AM48" i="12"/>
  <c r="AM47" i="12"/>
  <c r="AM46" i="12"/>
  <c r="AM45" i="12"/>
  <c r="K42" i="12"/>
  <c r="K90" i="12" s="1"/>
  <c r="AM41" i="12"/>
  <c r="AK40" i="12"/>
  <c r="AJ40" i="12"/>
  <c r="AJ42" i="12"/>
  <c r="AJ90" i="12" s="1"/>
  <c r="AI40" i="12"/>
  <c r="AI42" i="12"/>
  <c r="AI58" i="12"/>
  <c r="AI106" i="12"/>
  <c r="AH40" i="12"/>
  <c r="AH42" i="12" s="1"/>
  <c r="AH58" i="12" s="1"/>
  <c r="AF40" i="12"/>
  <c r="AE40" i="12"/>
  <c r="AE42" i="12"/>
  <c r="AD40" i="12"/>
  <c r="AD42" i="12" s="1"/>
  <c r="AD90" i="12" s="1"/>
  <c r="AC40" i="12"/>
  <c r="AC42" i="12" s="1"/>
  <c r="AB40" i="12"/>
  <c r="S40" i="12"/>
  <c r="S42" i="12" s="1"/>
  <c r="R40" i="12"/>
  <c r="Q40" i="12"/>
  <c r="P40" i="12"/>
  <c r="O40" i="12"/>
  <c r="M40" i="12"/>
  <c r="M88" i="12" s="1"/>
  <c r="L40" i="12"/>
  <c r="K40" i="12"/>
  <c r="J40" i="12"/>
  <c r="J88" i="12"/>
  <c r="J42" i="12"/>
  <c r="J58" i="12"/>
  <c r="J106" i="12" s="1"/>
  <c r="I40" i="12"/>
  <c r="H40" i="12"/>
  <c r="G40" i="12"/>
  <c r="G42" i="12" s="1"/>
  <c r="G58" i="12"/>
  <c r="G106" i="12"/>
  <c r="F40" i="12"/>
  <c r="E40" i="12"/>
  <c r="D40" i="12"/>
  <c r="D42" i="12"/>
  <c r="B40" i="12"/>
  <c r="AM39" i="12"/>
  <c r="AM38" i="12"/>
  <c r="AM37" i="12"/>
  <c r="AG35" i="12"/>
  <c r="AG83" i="12" s="1"/>
  <c r="AA35" i="12"/>
  <c r="Z35" i="12"/>
  <c r="Y35" i="12"/>
  <c r="X35" i="12"/>
  <c r="X40" i="12"/>
  <c r="X42" i="12"/>
  <c r="X90" i="12" s="1"/>
  <c r="X58" i="12"/>
  <c r="X106" i="12" s="1"/>
  <c r="W35" i="12"/>
  <c r="V35" i="12"/>
  <c r="V40" i="12"/>
  <c r="V57" i="12"/>
  <c r="V105" i="12" s="1"/>
  <c r="T35" i="12"/>
  <c r="N35" i="12"/>
  <c r="C35" i="12"/>
  <c r="AM34" i="12"/>
  <c r="AM33" i="12"/>
  <c r="AM31" i="12"/>
  <c r="U30" i="12"/>
  <c r="U40" i="12"/>
  <c r="U42" i="12" s="1"/>
  <c r="U58" i="12" s="1"/>
  <c r="U106" i="12" s="1"/>
  <c r="AM29" i="12"/>
  <c r="AM28" i="12"/>
  <c r="AM27" i="12"/>
  <c r="Y26" i="12"/>
  <c r="Y74" i="12" s="1"/>
  <c r="AM25" i="12"/>
  <c r="AM24" i="12"/>
  <c r="AM23" i="12"/>
  <c r="AM22" i="12"/>
  <c r="AM21" i="12"/>
  <c r="AM20" i="12"/>
  <c r="AM19" i="12"/>
  <c r="AM18" i="12"/>
  <c r="AM17" i="12"/>
  <c r="AM16" i="12"/>
  <c r="AM15" i="12"/>
  <c r="AK9" i="12"/>
  <c r="AJ9" i="12"/>
  <c r="AJ68" i="12" s="1"/>
  <c r="AJ67" i="12"/>
  <c r="AI9" i="12"/>
  <c r="AI101" i="12" s="1"/>
  <c r="AI79" i="12"/>
  <c r="AH9" i="12"/>
  <c r="AH63" i="12"/>
  <c r="AG9" i="12"/>
  <c r="AG98" i="12" s="1"/>
  <c r="AF9" i="12"/>
  <c r="AF65" i="12" s="1"/>
  <c r="AF72" i="12"/>
  <c r="AE9" i="12"/>
  <c r="AE69" i="12"/>
  <c r="AD9" i="12"/>
  <c r="AC9" i="12"/>
  <c r="AC82" i="12" s="1"/>
  <c r="AB9" i="12"/>
  <c r="AB74" i="12" s="1"/>
  <c r="AA9" i="12"/>
  <c r="AA66" i="12" s="1"/>
  <c r="Z9" i="12"/>
  <c r="Z96" i="12"/>
  <c r="Y9" i="12"/>
  <c r="X9" i="12"/>
  <c r="X78" i="12" s="1"/>
  <c r="W9" i="12"/>
  <c r="W83" i="12" s="1"/>
  <c r="V9" i="12"/>
  <c r="V72" i="12"/>
  <c r="U9" i="12"/>
  <c r="T9" i="12"/>
  <c r="S9" i="12"/>
  <c r="R9" i="12"/>
  <c r="R83" i="12"/>
  <c r="R96" i="12"/>
  <c r="Q9" i="12"/>
  <c r="Q101" i="12"/>
  <c r="P9" i="12"/>
  <c r="O9" i="12"/>
  <c r="O66" i="12"/>
  <c r="N9" i="12"/>
  <c r="N100" i="12"/>
  <c r="M9" i="12"/>
  <c r="M101" i="12"/>
  <c r="L9" i="12"/>
  <c r="K9" i="12"/>
  <c r="K87" i="12"/>
  <c r="J9" i="12"/>
  <c r="J100" i="12"/>
  <c r="I9" i="12"/>
  <c r="H9" i="12"/>
  <c r="H90" i="12"/>
  <c r="G9" i="12"/>
  <c r="F9" i="12"/>
  <c r="F97" i="12" s="1"/>
  <c r="E9" i="12"/>
  <c r="E101" i="12" s="1"/>
  <c r="E93" i="12"/>
  <c r="D9" i="12"/>
  <c r="D89" i="12" s="1"/>
  <c r="D82" i="12"/>
  <c r="C9" i="12"/>
  <c r="B9" i="12"/>
  <c r="AM8" i="12"/>
  <c r="AM7" i="12"/>
  <c r="AA8" i="11"/>
  <c r="AA15" i="11"/>
  <c r="AA16" i="11"/>
  <c r="AA17" i="11"/>
  <c r="AA18" i="11"/>
  <c r="AA19" i="11"/>
  <c r="AA21" i="11"/>
  <c r="AA22" i="11"/>
  <c r="AA23" i="11"/>
  <c r="AA24" i="11"/>
  <c r="AA25" i="11"/>
  <c r="AA26" i="11"/>
  <c r="AA27" i="11"/>
  <c r="AA28" i="11"/>
  <c r="AA29" i="11"/>
  <c r="AA30" i="11"/>
  <c r="AA31" i="11"/>
  <c r="AA32" i="11"/>
  <c r="AA33" i="11"/>
  <c r="AA34" i="11"/>
  <c r="AA37" i="11"/>
  <c r="AA38" i="11"/>
  <c r="AA39" i="11"/>
  <c r="AA41" i="11"/>
  <c r="AA45" i="11"/>
  <c r="AA46" i="11"/>
  <c r="AA48" i="11"/>
  <c r="AA59" i="11"/>
  <c r="AA60" i="11"/>
  <c r="AA108" i="11"/>
  <c r="AA109" i="11"/>
  <c r="W87" i="11"/>
  <c r="W51" i="11"/>
  <c r="U51" i="11"/>
  <c r="T51" i="11"/>
  <c r="P51" i="11"/>
  <c r="N51" i="11"/>
  <c r="E51" i="11"/>
  <c r="D51" i="11"/>
  <c r="Y50" i="11"/>
  <c r="Y49" i="11" s="1"/>
  <c r="X50" i="11"/>
  <c r="AA50" i="11"/>
  <c r="X49" i="11"/>
  <c r="S49" i="11"/>
  <c r="R49" i="11"/>
  <c r="Q49" i="11"/>
  <c r="O49" i="11"/>
  <c r="O51" i="11" s="1"/>
  <c r="O57" i="11" s="1"/>
  <c r="O105" i="11" s="1"/>
  <c r="M49" i="11"/>
  <c r="L49" i="11"/>
  <c r="K49" i="11"/>
  <c r="J49" i="11"/>
  <c r="J51" i="11" s="1"/>
  <c r="I49" i="11"/>
  <c r="I51" i="11"/>
  <c r="I57" i="11" s="1"/>
  <c r="I105" i="11" s="1"/>
  <c r="H49" i="11"/>
  <c r="G49" i="11"/>
  <c r="G51" i="11" s="1"/>
  <c r="F49" i="11"/>
  <c r="F51" i="11" s="1"/>
  <c r="C49" i="11"/>
  <c r="B49" i="11"/>
  <c r="V47" i="11"/>
  <c r="V51" i="11"/>
  <c r="V57" i="11" s="1"/>
  <c r="V105" i="11" s="1"/>
  <c r="M47" i="11"/>
  <c r="T41" i="11"/>
  <c r="Y40" i="11"/>
  <c r="Y42" i="11"/>
  <c r="X40" i="11"/>
  <c r="W40" i="11"/>
  <c r="V40" i="11"/>
  <c r="V42" i="11" s="1"/>
  <c r="U40" i="11"/>
  <c r="U88" i="11" s="1"/>
  <c r="T40" i="11"/>
  <c r="T42" i="11" s="1"/>
  <c r="S40" i="11"/>
  <c r="R40" i="11"/>
  <c r="Q40" i="11"/>
  <c r="P40" i="11"/>
  <c r="O40" i="11"/>
  <c r="N40" i="11"/>
  <c r="N88" i="11"/>
  <c r="L40" i="11"/>
  <c r="K40" i="11"/>
  <c r="K42" i="11"/>
  <c r="J40" i="11"/>
  <c r="I40" i="11"/>
  <c r="I42" i="11" s="1"/>
  <c r="H40" i="11"/>
  <c r="G40" i="11"/>
  <c r="G57" i="11" s="1"/>
  <c r="G42" i="11"/>
  <c r="G58" i="11" s="1"/>
  <c r="F40" i="11"/>
  <c r="F42" i="11" s="1"/>
  <c r="F90" i="11" s="1"/>
  <c r="C40" i="11"/>
  <c r="C42" i="11"/>
  <c r="E35" i="11"/>
  <c r="D35" i="11"/>
  <c r="B35" i="11"/>
  <c r="B83" i="11" s="1"/>
  <c r="M20" i="11"/>
  <c r="M40" i="11" s="1"/>
  <c r="Y9" i="11"/>
  <c r="Y76" i="11"/>
  <c r="Y63" i="11"/>
  <c r="X9" i="11"/>
  <c r="W9" i="11"/>
  <c r="W76" i="11" s="1"/>
  <c r="W73" i="11"/>
  <c r="W78" i="11"/>
  <c r="V9" i="11"/>
  <c r="V74" i="11"/>
  <c r="U9" i="11"/>
  <c r="T9" i="11"/>
  <c r="S9" i="11"/>
  <c r="S80" i="11"/>
  <c r="R9" i="11"/>
  <c r="R64" i="11"/>
  <c r="Q9" i="11"/>
  <c r="Q78" i="11"/>
  <c r="P9" i="11"/>
  <c r="P72" i="11"/>
  <c r="P95" i="11"/>
  <c r="O9" i="11"/>
  <c r="O65" i="11" s="1"/>
  <c r="N9" i="11"/>
  <c r="N89" i="11"/>
  <c r="L9" i="11"/>
  <c r="L103" i="11" s="1"/>
  <c r="K9" i="11"/>
  <c r="K66" i="11"/>
  <c r="K94" i="11"/>
  <c r="J9" i="11"/>
  <c r="J94" i="11" s="1"/>
  <c r="I9" i="11"/>
  <c r="H9" i="11"/>
  <c r="G9" i="11"/>
  <c r="G98" i="11" s="1"/>
  <c r="F9" i="11"/>
  <c r="F94" i="11"/>
  <c r="E9" i="11"/>
  <c r="D9" i="11"/>
  <c r="C9" i="11"/>
  <c r="B9" i="11"/>
  <c r="M7" i="11"/>
  <c r="AA7" i="11"/>
  <c r="M9" i="11"/>
  <c r="M63" i="11" s="1"/>
  <c r="AF8" i="10"/>
  <c r="AF15" i="10"/>
  <c r="AF16" i="10"/>
  <c r="AF17" i="10"/>
  <c r="AF18" i="10"/>
  <c r="AF19" i="10"/>
  <c r="AF21" i="10"/>
  <c r="AF22" i="10"/>
  <c r="AF23" i="10"/>
  <c r="AF24" i="10"/>
  <c r="AF25" i="10"/>
  <c r="AF26" i="10"/>
  <c r="AF27" i="10"/>
  <c r="AF28" i="10"/>
  <c r="AF29" i="10"/>
  <c r="AF31" i="10"/>
  <c r="AF32" i="10"/>
  <c r="AF33" i="10"/>
  <c r="AF34" i="10"/>
  <c r="AF37" i="10"/>
  <c r="AF38" i="10"/>
  <c r="AF39" i="10"/>
  <c r="AF45" i="10"/>
  <c r="AF46" i="10"/>
  <c r="AF47" i="10"/>
  <c r="AF48" i="10"/>
  <c r="AF59" i="10"/>
  <c r="AF60" i="10"/>
  <c r="AF108" i="10"/>
  <c r="AF109" i="10"/>
  <c r="AF7" i="10"/>
  <c r="Q50" i="10"/>
  <c r="D41" i="10"/>
  <c r="AF41" i="10"/>
  <c r="AD40" i="10"/>
  <c r="AD42" i="10" s="1"/>
  <c r="AB40" i="10"/>
  <c r="AB42" i="10" s="1"/>
  <c r="AB58" i="10" s="1"/>
  <c r="AB106" i="10" s="1"/>
  <c r="X40" i="10"/>
  <c r="W40" i="10"/>
  <c r="V40" i="10"/>
  <c r="U40" i="10"/>
  <c r="U57" i="10" s="1"/>
  <c r="T40" i="10"/>
  <c r="T42" i="10"/>
  <c r="R40" i="10"/>
  <c r="O40" i="10"/>
  <c r="O42" i="10"/>
  <c r="M40" i="10"/>
  <c r="L40" i="10"/>
  <c r="L42" i="10"/>
  <c r="L58" i="10"/>
  <c r="L106" i="10"/>
  <c r="L57" i="10"/>
  <c r="H40" i="10"/>
  <c r="G40" i="10"/>
  <c r="G42" i="10"/>
  <c r="F40" i="10"/>
  <c r="D40" i="10"/>
  <c r="C40" i="10"/>
  <c r="C42" i="10"/>
  <c r="C58" i="10" s="1"/>
  <c r="B40" i="10"/>
  <c r="B42" i="10" s="1"/>
  <c r="AC35" i="10"/>
  <c r="S35" i="10"/>
  <c r="S40" i="10" s="1"/>
  <c r="Q35" i="10"/>
  <c r="Q40" i="10" s="1"/>
  <c r="P35" i="10"/>
  <c r="N35" i="10"/>
  <c r="K35" i="10"/>
  <c r="K40" i="10"/>
  <c r="J35" i="10"/>
  <c r="I35" i="10"/>
  <c r="E35" i="10"/>
  <c r="E40" i="10" s="1"/>
  <c r="AA30" i="10"/>
  <c r="AA40" i="10"/>
  <c r="AA57" i="10" s="1"/>
  <c r="AA105" i="10" s="1"/>
  <c r="Z30" i="10"/>
  <c r="Y30" i="10"/>
  <c r="N20" i="10"/>
  <c r="AD9" i="10"/>
  <c r="AD69" i="10"/>
  <c r="AC9" i="10"/>
  <c r="AC83" i="10"/>
  <c r="AB9" i="10"/>
  <c r="AB97" i="10" s="1"/>
  <c r="AA9" i="10"/>
  <c r="AA103" i="10" s="1"/>
  <c r="Z9" i="10"/>
  <c r="Y9" i="10"/>
  <c r="Y64" i="10" s="1"/>
  <c r="X9" i="10"/>
  <c r="X72" i="10"/>
  <c r="W9" i="10"/>
  <c r="W80" i="10" s="1"/>
  <c r="V9" i="10"/>
  <c r="V105" i="10" s="1"/>
  <c r="V101" i="10"/>
  <c r="U9" i="10"/>
  <c r="T9" i="10"/>
  <c r="T96" i="10" s="1"/>
  <c r="S9" i="10"/>
  <c r="R9" i="10"/>
  <c r="R89" i="10"/>
  <c r="Q9" i="10"/>
  <c r="P9" i="10"/>
  <c r="O9" i="10"/>
  <c r="O90" i="10" s="1"/>
  <c r="O67" i="10"/>
  <c r="N9" i="10"/>
  <c r="N69" i="10"/>
  <c r="M9" i="10"/>
  <c r="M74" i="10" s="1"/>
  <c r="M78" i="10"/>
  <c r="L9" i="10"/>
  <c r="K9" i="10"/>
  <c r="J9" i="10"/>
  <c r="J70" i="10" s="1"/>
  <c r="I9" i="10"/>
  <c r="I93" i="10"/>
  <c r="H9" i="10"/>
  <c r="G9" i="10"/>
  <c r="G97" i="10"/>
  <c r="F9" i="10"/>
  <c r="F86" i="10" s="1"/>
  <c r="F72" i="10"/>
  <c r="E9" i="10"/>
  <c r="E77" i="10" s="1"/>
  <c r="D9" i="10"/>
  <c r="D64" i="10" s="1"/>
  <c r="C9" i="10"/>
  <c r="C80" i="10" s="1"/>
  <c r="B9" i="10"/>
  <c r="B83" i="10"/>
  <c r="AF8" i="9"/>
  <c r="AF15" i="9"/>
  <c r="AF16" i="9"/>
  <c r="AF17" i="9"/>
  <c r="AF18" i="9"/>
  <c r="AF20" i="9"/>
  <c r="AF22" i="9"/>
  <c r="AF23" i="9"/>
  <c r="AF24" i="9"/>
  <c r="AF25" i="9"/>
  <c r="AF26" i="9"/>
  <c r="AF27" i="9"/>
  <c r="AF28" i="9"/>
  <c r="AF29" i="9"/>
  <c r="AF31" i="9"/>
  <c r="AF32" i="9"/>
  <c r="AF33" i="9"/>
  <c r="AF34" i="9"/>
  <c r="AF37" i="9"/>
  <c r="AF38" i="9"/>
  <c r="AF39" i="9"/>
  <c r="AF41" i="9"/>
  <c r="AF45" i="9"/>
  <c r="AF46" i="9"/>
  <c r="AF47" i="9"/>
  <c r="AF48" i="9"/>
  <c r="AF49" i="9"/>
  <c r="AF53" i="9"/>
  <c r="AF108" i="9"/>
  <c r="AF109" i="9"/>
  <c r="T50" i="9"/>
  <c r="AF50" i="9"/>
  <c r="AA40" i="9"/>
  <c r="W40" i="9"/>
  <c r="V40" i="9"/>
  <c r="V88" i="9" s="1"/>
  <c r="V42" i="9"/>
  <c r="V58" i="9" s="1"/>
  <c r="S40" i="9"/>
  <c r="R40" i="9"/>
  <c r="R88" i="9" s="1"/>
  <c r="P40" i="9"/>
  <c r="P57" i="9" s="1"/>
  <c r="P42" i="9"/>
  <c r="P90" i="9"/>
  <c r="O40" i="9"/>
  <c r="O42" i="9" s="1"/>
  <c r="N40" i="9"/>
  <c r="N42" i="9" s="1"/>
  <c r="M40" i="9"/>
  <c r="M57" i="9" s="1"/>
  <c r="M105" i="9" s="1"/>
  <c r="L40" i="9"/>
  <c r="L57" i="9" s="1"/>
  <c r="L105" i="9" s="1"/>
  <c r="L42" i="9"/>
  <c r="K40" i="9"/>
  <c r="I40" i="9"/>
  <c r="I42" i="9" s="1"/>
  <c r="F40" i="9"/>
  <c r="F57" i="9" s="1"/>
  <c r="F105" i="9" s="1"/>
  <c r="E40" i="9"/>
  <c r="E88" i="9"/>
  <c r="D40" i="9"/>
  <c r="D42" i="9" s="1"/>
  <c r="C40" i="9"/>
  <c r="B40" i="9"/>
  <c r="AC35" i="9"/>
  <c r="AC40" i="9"/>
  <c r="AB35" i="9"/>
  <c r="AB40" i="9"/>
  <c r="AB42" i="9" s="1"/>
  <c r="AB57" i="9"/>
  <c r="Z35" i="9"/>
  <c r="Z40" i="9" s="1"/>
  <c r="Z88" i="9" s="1"/>
  <c r="Y35" i="9"/>
  <c r="Q35" i="9"/>
  <c r="AD30" i="9"/>
  <c r="T30" i="9"/>
  <c r="T40" i="9" s="1"/>
  <c r="T57" i="9" s="1"/>
  <c r="T42" i="9"/>
  <c r="J30" i="9"/>
  <c r="J40" i="9"/>
  <c r="H30" i="9"/>
  <c r="H40" i="9"/>
  <c r="G30" i="9"/>
  <c r="G40" i="9"/>
  <c r="U21" i="9"/>
  <c r="U40" i="9"/>
  <c r="U88" i="9" s="1"/>
  <c r="X19" i="9"/>
  <c r="AD9" i="9"/>
  <c r="AD80" i="9" s="1"/>
  <c r="AC9" i="9"/>
  <c r="AC96" i="9" s="1"/>
  <c r="AB9" i="9"/>
  <c r="AB70" i="9"/>
  <c r="AA9" i="9"/>
  <c r="Z9" i="9"/>
  <c r="Z70" i="9" s="1"/>
  <c r="Y9" i="9"/>
  <c r="Y63" i="9" s="1"/>
  <c r="X9" i="9"/>
  <c r="X87" i="9"/>
  <c r="W9" i="9"/>
  <c r="V9" i="9"/>
  <c r="V98" i="9"/>
  <c r="U9" i="9"/>
  <c r="U85" i="9"/>
  <c r="T9" i="9"/>
  <c r="T65" i="9"/>
  <c r="S9" i="9"/>
  <c r="S78" i="9"/>
  <c r="R9" i="9"/>
  <c r="R68" i="9"/>
  <c r="Q9" i="9"/>
  <c r="Q103" i="9"/>
  <c r="P9" i="9"/>
  <c r="P65" i="9"/>
  <c r="P81" i="9"/>
  <c r="O9" i="9"/>
  <c r="N9" i="9"/>
  <c r="N96" i="9"/>
  <c r="M9" i="9"/>
  <c r="M66" i="9"/>
  <c r="L9" i="9"/>
  <c r="L67" i="9"/>
  <c r="K9" i="9"/>
  <c r="K75" i="9"/>
  <c r="J9" i="9"/>
  <c r="J79" i="9"/>
  <c r="I9" i="9"/>
  <c r="I103" i="9"/>
  <c r="H9" i="9"/>
  <c r="H82" i="9"/>
  <c r="G9" i="9"/>
  <c r="G95" i="9"/>
  <c r="F9" i="9"/>
  <c r="F89" i="9"/>
  <c r="E9" i="9"/>
  <c r="E66" i="9"/>
  <c r="D9" i="9"/>
  <c r="D66" i="9"/>
  <c r="C9" i="9"/>
  <c r="B9" i="9"/>
  <c r="B67" i="9" s="1"/>
  <c r="AF7" i="9"/>
  <c r="AH108" i="7"/>
  <c r="AH109" i="7"/>
  <c r="AH16" i="7"/>
  <c r="AH17" i="7"/>
  <c r="AH18" i="7"/>
  <c r="AH20" i="7"/>
  <c r="AH21" i="7"/>
  <c r="AH22" i="7"/>
  <c r="AH23" i="7"/>
  <c r="AH24" i="7"/>
  <c r="AH25" i="7"/>
  <c r="AH26" i="7"/>
  <c r="AH27" i="7"/>
  <c r="AH28" i="7"/>
  <c r="AH29" i="7"/>
  <c r="AH31" i="7"/>
  <c r="AH32" i="7"/>
  <c r="AH33" i="7"/>
  <c r="AH34" i="7"/>
  <c r="AH37" i="7"/>
  <c r="AH38" i="7"/>
  <c r="AH39" i="7"/>
  <c r="AH41" i="7"/>
  <c r="AH45" i="7"/>
  <c r="AH46" i="7"/>
  <c r="AH47" i="7"/>
  <c r="AH48" i="7"/>
  <c r="AH49" i="7"/>
  <c r="AH50" i="7"/>
  <c r="AH52" i="7"/>
  <c r="AH53" i="7"/>
  <c r="AH55" i="7"/>
  <c r="AH15" i="7"/>
  <c r="AD103" i="7"/>
  <c r="AC103" i="7"/>
  <c r="AD101" i="7"/>
  <c r="AC101" i="7"/>
  <c r="AD100" i="7"/>
  <c r="AC100" i="7"/>
  <c r="AD98" i="7"/>
  <c r="AC98" i="7"/>
  <c r="AD97" i="7"/>
  <c r="AC97" i="7"/>
  <c r="AD96" i="7"/>
  <c r="AD99" i="7" s="1"/>
  <c r="AC96" i="7"/>
  <c r="AD95" i="7"/>
  <c r="AC95" i="7"/>
  <c r="AD94" i="7"/>
  <c r="AC94" i="7"/>
  <c r="AD93" i="7"/>
  <c r="AC93" i="7"/>
  <c r="AD89" i="7"/>
  <c r="AC89" i="7"/>
  <c r="AD87" i="7"/>
  <c r="AC87" i="7"/>
  <c r="AD86" i="7"/>
  <c r="AC86" i="7"/>
  <c r="AD85" i="7"/>
  <c r="AC85" i="7"/>
  <c r="AD83" i="7"/>
  <c r="AC83" i="7"/>
  <c r="AD82" i="7"/>
  <c r="AC82" i="7"/>
  <c r="AD81" i="7"/>
  <c r="AC81" i="7"/>
  <c r="AD80" i="7"/>
  <c r="AC80" i="7"/>
  <c r="AD79" i="7"/>
  <c r="AC79" i="7"/>
  <c r="AD78" i="7"/>
  <c r="AC78" i="7"/>
  <c r="AD77" i="7"/>
  <c r="AC77" i="7"/>
  <c r="AD76" i="7"/>
  <c r="AC76" i="7"/>
  <c r="AD75" i="7"/>
  <c r="AC75" i="7"/>
  <c r="AD74" i="7"/>
  <c r="AC74" i="7"/>
  <c r="AD73" i="7"/>
  <c r="AC73" i="7"/>
  <c r="AD72" i="7"/>
  <c r="AC72" i="7"/>
  <c r="AD71" i="7"/>
  <c r="AC71" i="7"/>
  <c r="AD70" i="7"/>
  <c r="AC70" i="7"/>
  <c r="AD69" i="7"/>
  <c r="AC69" i="7"/>
  <c r="AD68" i="7"/>
  <c r="AC68" i="7"/>
  <c r="AD67" i="7"/>
  <c r="AC67" i="7"/>
  <c r="AD66" i="7"/>
  <c r="AC66" i="7"/>
  <c r="AD65" i="7"/>
  <c r="AC65" i="7"/>
  <c r="X65" i="7"/>
  <c r="AD64" i="7"/>
  <c r="AC64" i="7"/>
  <c r="AD63" i="7"/>
  <c r="AC63" i="7"/>
  <c r="AF40" i="7"/>
  <c r="AE40" i="7"/>
  <c r="AD40" i="7"/>
  <c r="AC40" i="7"/>
  <c r="AB40" i="7"/>
  <c r="AB57" i="7" s="1"/>
  <c r="AA40" i="7"/>
  <c r="AA57" i="7" s="1"/>
  <c r="X40" i="7"/>
  <c r="W40" i="7"/>
  <c r="W42" i="7" s="1"/>
  <c r="W58" i="7"/>
  <c r="T40" i="7"/>
  <c r="T42" i="7" s="1"/>
  <c r="T58" i="7" s="1"/>
  <c r="T106" i="7" s="1"/>
  <c r="R40" i="7"/>
  <c r="R88" i="7" s="1"/>
  <c r="Q40" i="7"/>
  <c r="Q42" i="7" s="1"/>
  <c r="Q90" i="7" s="1"/>
  <c r="P40" i="7"/>
  <c r="P42" i="7"/>
  <c r="P58" i="7" s="1"/>
  <c r="O40" i="7"/>
  <c r="N40" i="7"/>
  <c r="N57" i="7"/>
  <c r="N105" i="7" s="1"/>
  <c r="N88" i="7"/>
  <c r="M40" i="7"/>
  <c r="M57" i="7" s="1"/>
  <c r="L40" i="7"/>
  <c r="K40" i="7"/>
  <c r="K42" i="7"/>
  <c r="J40" i="7"/>
  <c r="J88" i="7"/>
  <c r="I40" i="7"/>
  <c r="I57" i="7" s="1"/>
  <c r="H40" i="7"/>
  <c r="H42" i="7" s="1"/>
  <c r="H90" i="7"/>
  <c r="G40" i="7"/>
  <c r="G42" i="7"/>
  <c r="G58" i="7" s="1"/>
  <c r="F40" i="7"/>
  <c r="E40" i="7"/>
  <c r="E57" i="7" s="1"/>
  <c r="D40" i="7"/>
  <c r="D42" i="7" s="1"/>
  <c r="C40" i="7"/>
  <c r="C88" i="7"/>
  <c r="B40" i="7"/>
  <c r="V35" i="7"/>
  <c r="U35" i="7"/>
  <c r="S35" i="7"/>
  <c r="S40" i="7" s="1"/>
  <c r="Y30" i="7"/>
  <c r="U30" i="7"/>
  <c r="U40" i="7" s="1"/>
  <c r="Z19" i="7"/>
  <c r="Z67" i="7"/>
  <c r="AF9" i="7"/>
  <c r="AF98" i="7" s="1"/>
  <c r="AE9" i="7"/>
  <c r="AE85" i="7"/>
  <c r="AA9" i="7"/>
  <c r="AA70" i="7"/>
  <c r="AA98" i="7"/>
  <c r="Z9" i="7"/>
  <c r="Y9" i="7"/>
  <c r="Y97" i="7" s="1"/>
  <c r="X9" i="7"/>
  <c r="V9" i="7"/>
  <c r="V86" i="7"/>
  <c r="U9" i="7"/>
  <c r="T9" i="7"/>
  <c r="S9" i="7"/>
  <c r="S71" i="7"/>
  <c r="R9" i="7"/>
  <c r="R97" i="7"/>
  <c r="R99" i="7" s="1"/>
  <c r="Q9" i="7"/>
  <c r="Q67" i="7" s="1"/>
  <c r="P9" i="7"/>
  <c r="O9" i="7"/>
  <c r="O71" i="7" s="1"/>
  <c r="N9" i="7"/>
  <c r="M9" i="7"/>
  <c r="L9" i="7"/>
  <c r="L68" i="7"/>
  <c r="L76" i="7"/>
  <c r="K9" i="7"/>
  <c r="K79" i="7" s="1"/>
  <c r="J9" i="7"/>
  <c r="I9" i="7"/>
  <c r="H9" i="7"/>
  <c r="H101" i="7"/>
  <c r="H78" i="7"/>
  <c r="G9" i="7"/>
  <c r="G72" i="7" s="1"/>
  <c r="F9" i="7"/>
  <c r="F95" i="7"/>
  <c r="E9" i="7"/>
  <c r="D9" i="7"/>
  <c r="C9" i="7"/>
  <c r="B9" i="7"/>
  <c r="B97" i="7"/>
  <c r="AH8" i="7"/>
  <c r="AB8" i="7"/>
  <c r="AB9" i="7"/>
  <c r="W7" i="7"/>
  <c r="W9" i="7" s="1"/>
  <c r="H51" i="11"/>
  <c r="W57" i="11"/>
  <c r="W105" i="11" s="1"/>
  <c r="U78" i="11"/>
  <c r="C81" i="11"/>
  <c r="T96" i="11"/>
  <c r="K101" i="11"/>
  <c r="W65" i="11"/>
  <c r="W80" i="11"/>
  <c r="S93" i="11"/>
  <c r="S96" i="11"/>
  <c r="C69" i="11"/>
  <c r="S89" i="11"/>
  <c r="W63" i="11"/>
  <c r="P66" i="11"/>
  <c r="T79" i="11"/>
  <c r="T81" i="11"/>
  <c r="O66" i="11"/>
  <c r="W69" i="11"/>
  <c r="W85" i="11"/>
  <c r="M98" i="11"/>
  <c r="M103" i="11"/>
  <c r="M79" i="11"/>
  <c r="W68" i="11"/>
  <c r="P69" i="11"/>
  <c r="W70" i="11"/>
  <c r="O81" i="11"/>
  <c r="O86" i="11"/>
  <c r="L51" i="11"/>
  <c r="L57" i="11" s="1"/>
  <c r="L105" i="11" s="1"/>
  <c r="S63" i="11"/>
  <c r="T71" i="11"/>
  <c r="S73" i="11"/>
  <c r="K77" i="11"/>
  <c r="T82" i="11"/>
  <c r="O85" i="11"/>
  <c r="W95" i="11"/>
  <c r="W101" i="11"/>
  <c r="S103" i="11"/>
  <c r="W66" i="11"/>
  <c r="O68" i="11"/>
  <c r="T70" i="11"/>
  <c r="W72" i="11"/>
  <c r="P78" i="11"/>
  <c r="J79" i="11"/>
  <c r="K81" i="11"/>
  <c r="S82" i="11"/>
  <c r="O96" i="11"/>
  <c r="O63" i="11"/>
  <c r="Y64" i="11"/>
  <c r="W77" i="11"/>
  <c r="O78" i="11"/>
  <c r="O87" i="11"/>
  <c r="Y93" i="11"/>
  <c r="S101" i="11"/>
  <c r="Y70" i="11"/>
  <c r="S66" i="11"/>
  <c r="O70" i="11"/>
  <c r="O72" i="11"/>
  <c r="T77" i="11"/>
  <c r="W81" i="11"/>
  <c r="W86" i="11"/>
  <c r="K96" i="11"/>
  <c r="W97" i="11"/>
  <c r="U98" i="11"/>
  <c r="V77" i="11"/>
  <c r="V66" i="11"/>
  <c r="V89" i="11"/>
  <c r="V70" i="11"/>
  <c r="F97" i="11"/>
  <c r="F64" i="11"/>
  <c r="V65" i="11"/>
  <c r="F79" i="11"/>
  <c r="V88" i="11"/>
  <c r="F76" i="11"/>
  <c r="V83" i="11"/>
  <c r="F95" i="11"/>
  <c r="B73" i="11"/>
  <c r="B85" i="11"/>
  <c r="B63" i="11"/>
  <c r="J103" i="11"/>
  <c r="J69" i="11"/>
  <c r="R78" i="11"/>
  <c r="I95" i="11"/>
  <c r="I98" i="11"/>
  <c r="I79" i="11"/>
  <c r="I80" i="11"/>
  <c r="Q71" i="11"/>
  <c r="Q72" i="11"/>
  <c r="Y71" i="11"/>
  <c r="Y95" i="11"/>
  <c r="Y69" i="11"/>
  <c r="Y66" i="11"/>
  <c r="F75" i="11"/>
  <c r="V76" i="11"/>
  <c r="F68" i="11"/>
  <c r="B75" i="11"/>
  <c r="F103" i="11"/>
  <c r="F93" i="11"/>
  <c r="F82" i="11"/>
  <c r="F74" i="11"/>
  <c r="F63" i="11"/>
  <c r="F96" i="11"/>
  <c r="F69" i="11"/>
  <c r="F66" i="11"/>
  <c r="F89" i="11"/>
  <c r="F80" i="11"/>
  <c r="F72" i="11"/>
  <c r="F87" i="11"/>
  <c r="F101" i="11"/>
  <c r="F81" i="11"/>
  <c r="F73" i="11"/>
  <c r="T89" i="11"/>
  <c r="J64" i="11"/>
  <c r="F65" i="11"/>
  <c r="F67" i="11"/>
  <c r="Y74" i="11"/>
  <c r="F85" i="11"/>
  <c r="V94" i="11"/>
  <c r="P67" i="11"/>
  <c r="U85" i="11"/>
  <c r="P94" i="11"/>
  <c r="W64" i="11"/>
  <c r="T65" i="11"/>
  <c r="O67" i="11"/>
  <c r="W67" i="11"/>
  <c r="S71" i="11"/>
  <c r="O75" i="11"/>
  <c r="W75" i="11"/>
  <c r="T76" i="11"/>
  <c r="O83" i="11"/>
  <c r="W83" i="11"/>
  <c r="T85" i="11"/>
  <c r="P89" i="11"/>
  <c r="O94" i="11"/>
  <c r="W94" i="11"/>
  <c r="T95" i="11"/>
  <c r="P74" i="11"/>
  <c r="P103" i="11"/>
  <c r="H42" i="11"/>
  <c r="T67" i="11"/>
  <c r="K70" i="11"/>
  <c r="P71" i="11"/>
  <c r="O74" i="11"/>
  <c r="W74" i="11"/>
  <c r="T75" i="11"/>
  <c r="K78" i="11"/>
  <c r="S78" i="11"/>
  <c r="P79" i="11"/>
  <c r="U80" i="11"/>
  <c r="W82" i="11"/>
  <c r="T83" i="11"/>
  <c r="K87" i="11"/>
  <c r="S87" i="11"/>
  <c r="U89" i="11"/>
  <c r="W93" i="11"/>
  <c r="L94" i="11"/>
  <c r="T94" i="11"/>
  <c r="W103" i="11"/>
  <c r="E67" i="11"/>
  <c r="O42" i="11"/>
  <c r="O90" i="11" s="1"/>
  <c r="K64" i="11"/>
  <c r="P65" i="11"/>
  <c r="K67" i="11"/>
  <c r="P68" i="11"/>
  <c r="O71" i="11"/>
  <c r="W71" i="11"/>
  <c r="T72" i="11"/>
  <c r="K75" i="11"/>
  <c r="P76" i="11"/>
  <c r="W79" i="11"/>
  <c r="C83" i="11"/>
  <c r="K83" i="11"/>
  <c r="P85" i="11"/>
  <c r="W64" i="10"/>
  <c r="V68" i="10"/>
  <c r="C65" i="10"/>
  <c r="C70" i="10"/>
  <c r="K74" i="10"/>
  <c r="C79" i="10"/>
  <c r="K79" i="10"/>
  <c r="K86" i="10"/>
  <c r="K98" i="10"/>
  <c r="R96" i="10"/>
  <c r="AD68" i="9"/>
  <c r="AD76" i="9"/>
  <c r="V95" i="9"/>
  <c r="AD98" i="9"/>
  <c r="AD94" i="9"/>
  <c r="AD86" i="9"/>
  <c r="AD64" i="9"/>
  <c r="B63" i="7"/>
  <c r="R73" i="7"/>
  <c r="B65" i="7"/>
  <c r="R96" i="7"/>
  <c r="B73" i="7"/>
  <c r="AA80" i="7"/>
  <c r="K83" i="7"/>
  <c r="R63" i="7"/>
  <c r="B86" i="7"/>
  <c r="R100" i="7"/>
  <c r="B64" i="7"/>
  <c r="AA67" i="7"/>
  <c r="AA71" i="7"/>
  <c r="B77" i="7"/>
  <c r="B100" i="7"/>
  <c r="R101" i="7"/>
  <c r="R81" i="7"/>
  <c r="B101" i="7"/>
  <c r="R69" i="7"/>
  <c r="R64" i="7"/>
  <c r="Z64" i="7"/>
  <c r="AA68" i="7"/>
  <c r="B103" i="7"/>
  <c r="N71" i="7"/>
  <c r="N75" i="7"/>
  <c r="F83" i="7"/>
  <c r="AF93" i="7"/>
  <c r="AF101" i="7"/>
  <c r="J42" i="7"/>
  <c r="J58" i="7" s="1"/>
  <c r="J106" i="7" s="1"/>
  <c r="J90" i="7"/>
  <c r="R65" i="7"/>
  <c r="F66" i="7"/>
  <c r="S77" i="7"/>
  <c r="B81" i="7"/>
  <c r="R103" i="7"/>
  <c r="N66" i="7"/>
  <c r="AF78" i="7"/>
  <c r="AF42" i="7"/>
  <c r="AF90" i="7" s="1"/>
  <c r="N63" i="7"/>
  <c r="AF87" i="7"/>
  <c r="F71" i="7"/>
  <c r="F98" i="7"/>
  <c r="X42" i="7"/>
  <c r="F63" i="7"/>
  <c r="B69" i="7"/>
  <c r="AF70" i="7"/>
  <c r="AA76" i="7"/>
  <c r="R77" i="7"/>
  <c r="N79" i="7"/>
  <c r="R86" i="7"/>
  <c r="B96" i="7"/>
  <c r="N103" i="7"/>
  <c r="F65" i="7"/>
  <c r="N65" i="7"/>
  <c r="N67" i="7"/>
  <c r="AF74" i="7"/>
  <c r="V71" i="7"/>
  <c r="F79" i="7"/>
  <c r="S81" i="7"/>
  <c r="AA83" i="7"/>
  <c r="K100" i="7"/>
  <c r="E66" i="7"/>
  <c r="M100" i="7"/>
  <c r="M96" i="7"/>
  <c r="AE80" i="7"/>
  <c r="AE96" i="7"/>
  <c r="AE78" i="7"/>
  <c r="D57" i="7"/>
  <c r="L88" i="7"/>
  <c r="C42" i="7"/>
  <c r="C58" i="7"/>
  <c r="K88" i="7"/>
  <c r="AE70" i="7"/>
  <c r="M72" i="7"/>
  <c r="E105" i="7"/>
  <c r="AE66" i="7"/>
  <c r="O69" i="7"/>
  <c r="O97" i="7"/>
  <c r="O93" i="7"/>
  <c r="Y40" i="7"/>
  <c r="Y88" i="7" s="1"/>
  <c r="AE74" i="7"/>
  <c r="H100" i="7"/>
  <c r="X76" i="7"/>
  <c r="L42" i="7"/>
  <c r="I73" i="7"/>
  <c r="AE75" i="7"/>
  <c r="Q103" i="7"/>
  <c r="S63" i="7"/>
  <c r="B68" i="7"/>
  <c r="R68" i="7"/>
  <c r="F70" i="7"/>
  <c r="N70" i="7"/>
  <c r="T71" i="7"/>
  <c r="B72" i="7"/>
  <c r="R72" i="7"/>
  <c r="F74" i="7"/>
  <c r="N74" i="7"/>
  <c r="B76" i="7"/>
  <c r="R76" i="7"/>
  <c r="AF77" i="7"/>
  <c r="F78" i="7"/>
  <c r="T79" i="7"/>
  <c r="B80" i="7"/>
  <c r="R80" i="7"/>
  <c r="AF81" i="7"/>
  <c r="F82" i="7"/>
  <c r="B85" i="7"/>
  <c r="J85" i="7"/>
  <c r="R85" i="7"/>
  <c r="F87" i="7"/>
  <c r="B89" i="7"/>
  <c r="R89" i="7"/>
  <c r="F93" i="7"/>
  <c r="N93" i="7"/>
  <c r="B95" i="7"/>
  <c r="R95" i="7"/>
  <c r="AF96" i="7"/>
  <c r="F97" i="7"/>
  <c r="N97" i="7"/>
  <c r="T98" i="7"/>
  <c r="AA66" i="7"/>
  <c r="B67" i="7"/>
  <c r="R67" i="7"/>
  <c r="AF68" i="7"/>
  <c r="F69" i="7"/>
  <c r="B71" i="7"/>
  <c r="J71" i="7"/>
  <c r="R71" i="7"/>
  <c r="F73" i="7"/>
  <c r="T74" i="7"/>
  <c r="B75" i="7"/>
  <c r="R75" i="7"/>
  <c r="AF76" i="7"/>
  <c r="F77" i="7"/>
  <c r="N77" i="7"/>
  <c r="B79" i="7"/>
  <c r="R79" i="7"/>
  <c r="AF80" i="7"/>
  <c r="F81" i="7"/>
  <c r="N81" i="7"/>
  <c r="B83" i="7"/>
  <c r="R83" i="7"/>
  <c r="AF85" i="7"/>
  <c r="F86" i="7"/>
  <c r="N86" i="7"/>
  <c r="AF89" i="7"/>
  <c r="B94" i="7"/>
  <c r="R94" i="7"/>
  <c r="F96" i="7"/>
  <c r="N96" i="7"/>
  <c r="B98" i="7"/>
  <c r="R98" i="7"/>
  <c r="F100" i="7"/>
  <c r="F64" i="7"/>
  <c r="N64" i="7"/>
  <c r="V64" i="7"/>
  <c r="L65" i="7"/>
  <c r="T65" i="7"/>
  <c r="B66" i="7"/>
  <c r="R66" i="7"/>
  <c r="AA82" i="7"/>
  <c r="S87" i="7"/>
  <c r="S93" i="7"/>
  <c r="K97" i="7"/>
  <c r="F101" i="7"/>
  <c r="N101" i="7"/>
  <c r="K65" i="7"/>
  <c r="F68" i="7"/>
  <c r="B70" i="7"/>
  <c r="R70" i="7"/>
  <c r="AF71" i="7"/>
  <c r="F72" i="7"/>
  <c r="B74" i="7"/>
  <c r="R74" i="7"/>
  <c r="AF75" i="7"/>
  <c r="F76" i="7"/>
  <c r="N76" i="7"/>
  <c r="B78" i="7"/>
  <c r="R78" i="7"/>
  <c r="F80" i="7"/>
  <c r="N80" i="7"/>
  <c r="B82" i="7"/>
  <c r="R82" i="7"/>
  <c r="AF83" i="7"/>
  <c r="F85" i="7"/>
  <c r="N85" i="7"/>
  <c r="B87" i="7"/>
  <c r="R87" i="7"/>
  <c r="F89" i="7"/>
  <c r="B93" i="7"/>
  <c r="R93" i="7"/>
  <c r="AF94" i="7"/>
  <c r="M42" i="11"/>
  <c r="M90" i="11" s="1"/>
  <c r="Q42" i="11"/>
  <c r="Q90" i="11" s="1"/>
  <c r="T88" i="11"/>
  <c r="Y90" i="11"/>
  <c r="Y88" i="11"/>
  <c r="L42" i="11"/>
  <c r="L58" i="11" s="1"/>
  <c r="L106" i="11" s="1"/>
  <c r="L90" i="11"/>
  <c r="W98" i="11"/>
  <c r="R98" i="11"/>
  <c r="R63" i="11"/>
  <c r="R73" i="11"/>
  <c r="R67" i="11"/>
  <c r="N80" i="11"/>
  <c r="S76" i="11"/>
  <c r="S86" i="11"/>
  <c r="S75" i="11"/>
  <c r="R71" i="11"/>
  <c r="Q83" i="11"/>
  <c r="N64" i="11"/>
  <c r="Q68" i="11"/>
  <c r="R96" i="11"/>
  <c r="R95" i="11"/>
  <c r="R87" i="11"/>
  <c r="O97" i="11"/>
  <c r="Q63" i="11"/>
  <c r="O88" i="11"/>
  <c r="O76" i="11"/>
  <c r="S81" i="11"/>
  <c r="O98" i="11"/>
  <c r="S94" i="11"/>
  <c r="S74" i="11"/>
  <c r="S85" i="11"/>
  <c r="R72" i="11"/>
  <c r="R65" i="11"/>
  <c r="R69" i="11"/>
  <c r="N81" i="11"/>
  <c r="S83" i="11"/>
  <c r="S98" i="11"/>
  <c r="S79" i="11"/>
  <c r="R75" i="11"/>
  <c r="R66" i="11"/>
  <c r="R93" i="11"/>
  <c r="R68" i="11"/>
  <c r="N71" i="11"/>
  <c r="O95" i="11"/>
  <c r="O80" i="11"/>
  <c r="S68" i="11"/>
  <c r="R89" i="11"/>
  <c r="O101" i="11"/>
  <c r="S69" i="11"/>
  <c r="O77" i="11"/>
  <c r="R70" i="11"/>
  <c r="R103" i="11"/>
  <c r="S67" i="11"/>
  <c r="O103" i="11"/>
  <c r="O82" i="11"/>
  <c r="S70" i="11"/>
  <c r="Q77" i="11"/>
  <c r="Q95" i="11"/>
  <c r="R82" i="11"/>
  <c r="R101" i="11"/>
  <c r="Q64" i="11"/>
  <c r="S72" i="11"/>
  <c r="O89" i="11"/>
  <c r="O69" i="11"/>
  <c r="S65" i="11"/>
  <c r="R77" i="11"/>
  <c r="R76" i="11"/>
  <c r="N82" i="11"/>
  <c r="O79" i="11"/>
  <c r="S64" i="11"/>
  <c r="O93" i="11"/>
  <c r="O99" i="11" s="1"/>
  <c r="O64" i="11"/>
  <c r="R79" i="11"/>
  <c r="Q69" i="11"/>
  <c r="Q85" i="11"/>
  <c r="N97" i="11"/>
  <c r="Q82" i="11"/>
  <c r="O73" i="11"/>
  <c r="S95" i="11"/>
  <c r="Q94" i="11"/>
  <c r="S77" i="11"/>
  <c r="T80" i="11"/>
  <c r="L64" i="11"/>
  <c r="L95" i="11"/>
  <c r="L71" i="11"/>
  <c r="L66" i="11"/>
  <c r="L89" i="11"/>
  <c r="L65" i="11"/>
  <c r="L69" i="11"/>
  <c r="L70" i="11"/>
  <c r="L87" i="11"/>
  <c r="L72" i="11"/>
  <c r="G81" i="11"/>
  <c r="G82" i="11"/>
  <c r="G68" i="11"/>
  <c r="G89" i="11"/>
  <c r="G95" i="11"/>
  <c r="E93" i="11"/>
  <c r="E71" i="11"/>
  <c r="E98" i="11"/>
  <c r="E77" i="11"/>
  <c r="E66" i="11"/>
  <c r="E75" i="11"/>
  <c r="D89" i="11"/>
  <c r="E80" i="11"/>
  <c r="D67" i="11"/>
  <c r="D85" i="11"/>
  <c r="E72" i="11"/>
  <c r="D95" i="11"/>
  <c r="D76" i="11"/>
  <c r="E86" i="11"/>
  <c r="E64" i="11"/>
  <c r="E81" i="11"/>
  <c r="E95" i="11"/>
  <c r="E70" i="11"/>
  <c r="D96" i="11"/>
  <c r="E89" i="11"/>
  <c r="E73" i="11"/>
  <c r="E65" i="11"/>
  <c r="D66" i="11"/>
  <c r="V65" i="10"/>
  <c r="V83" i="10"/>
  <c r="V69" i="10"/>
  <c r="R93" i="10"/>
  <c r="K67" i="10"/>
  <c r="AE63" i="7"/>
  <c r="AE72" i="7"/>
  <c r="AE65" i="7"/>
  <c r="AE68" i="7"/>
  <c r="AE77" i="7"/>
  <c r="AE94" i="7"/>
  <c r="AE97" i="7"/>
  <c r="AE69" i="7"/>
  <c r="AE73" i="7"/>
  <c r="AE76" i="7"/>
  <c r="AE103" i="7"/>
  <c r="AE98" i="7"/>
  <c r="AE93" i="7"/>
  <c r="AE99" i="7" s="1"/>
  <c r="AE101" i="7"/>
  <c r="AE95" i="7"/>
  <c r="AE79" i="7"/>
  <c r="AE86" i="7"/>
  <c r="AE83" i="7"/>
  <c r="AE71" i="7"/>
  <c r="AE81" i="7"/>
  <c r="AE67" i="7"/>
  <c r="AE87" i="7"/>
  <c r="AE64" i="7"/>
  <c r="AE89" i="7"/>
  <c r="AE82" i="7"/>
  <c r="AE100" i="7"/>
  <c r="AA95" i="7"/>
  <c r="AA101" i="7"/>
  <c r="AA103" i="7"/>
  <c r="Y101" i="7"/>
  <c r="Y83" i="7"/>
  <c r="U65" i="7"/>
  <c r="U100" i="7"/>
  <c r="U64" i="7"/>
  <c r="O64" i="7"/>
  <c r="O72" i="7"/>
  <c r="P98" i="7"/>
  <c r="O82" i="7"/>
  <c r="O73" i="7"/>
  <c r="O80" i="7"/>
  <c r="O76" i="7"/>
  <c r="L81" i="7"/>
  <c r="K82" i="7"/>
  <c r="K72" i="7"/>
  <c r="K78" i="7"/>
  <c r="K85" i="7"/>
  <c r="K95" i="7"/>
  <c r="I93" i="7"/>
  <c r="I87" i="7"/>
  <c r="I79" i="7"/>
  <c r="I67" i="7"/>
  <c r="I78" i="7"/>
  <c r="I77" i="7"/>
  <c r="H72" i="7"/>
  <c r="H67" i="7"/>
  <c r="H75" i="7"/>
  <c r="E68" i="7"/>
  <c r="E94" i="7"/>
  <c r="E76" i="7"/>
  <c r="E72" i="7"/>
  <c r="E80" i="7"/>
  <c r="E89" i="7"/>
  <c r="E79" i="7"/>
  <c r="E65" i="7"/>
  <c r="E87" i="7"/>
  <c r="E77" i="7"/>
  <c r="E71" i="7"/>
  <c r="E85" i="7"/>
  <c r="E74" i="7"/>
  <c r="E73" i="7"/>
  <c r="D71" i="7"/>
  <c r="D89" i="7"/>
  <c r="C79" i="7"/>
  <c r="C86" i="7"/>
  <c r="C101" i="7"/>
  <c r="C80" i="7"/>
  <c r="H57" i="11"/>
  <c r="H105" i="11" s="1"/>
  <c r="G101" i="12"/>
  <c r="G93" i="12"/>
  <c r="G81" i="12"/>
  <c r="G72" i="12"/>
  <c r="G64" i="12"/>
  <c r="G87" i="12"/>
  <c r="G85" i="12"/>
  <c r="G65" i="12"/>
  <c r="W64" i="12"/>
  <c r="AE96" i="12"/>
  <c r="AE83" i="12"/>
  <c r="AE73" i="12"/>
  <c r="AE76" i="12"/>
  <c r="AK77" i="12"/>
  <c r="H85" i="12"/>
  <c r="X96" i="12"/>
  <c r="X86" i="12"/>
  <c r="X95" i="12"/>
  <c r="X98" i="12"/>
  <c r="AF89" i="12"/>
  <c r="AF103" i="12"/>
  <c r="AF67" i="12"/>
  <c r="AF73" i="12"/>
  <c r="AF97" i="12"/>
  <c r="AF68" i="12"/>
  <c r="M63" i="12"/>
  <c r="AE70" i="12"/>
  <c r="AF79" i="12"/>
  <c r="N89" i="12"/>
  <c r="AF94" i="12"/>
  <c r="AE97" i="12"/>
  <c r="E95" i="12"/>
  <c r="E85" i="12"/>
  <c r="E98" i="12"/>
  <c r="E100" i="12"/>
  <c r="E83" i="12"/>
  <c r="E82" i="12"/>
  <c r="E81" i="12"/>
  <c r="E74" i="12"/>
  <c r="E66" i="12"/>
  <c r="E89" i="12"/>
  <c r="E72" i="12"/>
  <c r="E97" i="12"/>
  <c r="E87" i="12"/>
  <c r="E86" i="12"/>
  <c r="E75" i="12"/>
  <c r="E67" i="12"/>
  <c r="AK95" i="12"/>
  <c r="AK85" i="12"/>
  <c r="AK98" i="12"/>
  <c r="AK101" i="12"/>
  <c r="AK100" i="12"/>
  <c r="AK74" i="12"/>
  <c r="AK66" i="12"/>
  <c r="AK72" i="12"/>
  <c r="AK93" i="12"/>
  <c r="AK75" i="12"/>
  <c r="AK67" i="12"/>
  <c r="E68" i="12"/>
  <c r="E70" i="12"/>
  <c r="E80" i="12"/>
  <c r="AK81" i="12"/>
  <c r="F94" i="12"/>
  <c r="F89" i="12"/>
  <c r="F87" i="12"/>
  <c r="F80" i="12"/>
  <c r="F78" i="12"/>
  <c r="N83" i="12"/>
  <c r="E64" i="12"/>
  <c r="E73" i="12"/>
  <c r="AK78" i="12"/>
  <c r="E94" i="12"/>
  <c r="Q42" i="12"/>
  <c r="Q90" i="12"/>
  <c r="AB42" i="12"/>
  <c r="S64" i="12"/>
  <c r="N65" i="12"/>
  <c r="AE66" i="12"/>
  <c r="O67" i="12"/>
  <c r="AE68" i="12"/>
  <c r="E69" i="12"/>
  <c r="Z69" i="12"/>
  <c r="AK69" i="12"/>
  <c r="AF71" i="12"/>
  <c r="Z75" i="12"/>
  <c r="M76" i="12"/>
  <c r="AC77" i="12"/>
  <c r="E79" i="12"/>
  <c r="J80" i="12"/>
  <c r="AF81" i="12"/>
  <c r="O87" i="12"/>
  <c r="AJ88" i="12"/>
  <c r="AK89" i="12"/>
  <c r="AF93" i="12"/>
  <c r="AK94" i="12"/>
  <c r="E96" i="12"/>
  <c r="E77" i="12"/>
  <c r="B71" i="12"/>
  <c r="J103" i="12"/>
  <c r="J94" i="12"/>
  <c r="J97" i="12"/>
  <c r="J87" i="12"/>
  <c r="J101" i="12"/>
  <c r="J85" i="12"/>
  <c r="J73" i="12"/>
  <c r="J65" i="12"/>
  <c r="J71" i="12"/>
  <c r="J98" i="12"/>
  <c r="J66" i="12"/>
  <c r="R94" i="12"/>
  <c r="R97" i="12"/>
  <c r="R87" i="12"/>
  <c r="R82" i="12"/>
  <c r="R101" i="12"/>
  <c r="R73" i="12"/>
  <c r="R71" i="12"/>
  <c r="R74" i="12"/>
  <c r="R88" i="12"/>
  <c r="R42" i="12"/>
  <c r="R90" i="12"/>
  <c r="E63" i="12"/>
  <c r="O63" i="12"/>
  <c r="AK63" i="12"/>
  <c r="AF64" i="12"/>
  <c r="E65" i="12"/>
  <c r="AK65" i="12"/>
  <c r="H71" i="12"/>
  <c r="J72" i="12"/>
  <c r="AK73" i="12"/>
  <c r="N74" i="12"/>
  <c r="AE77" i="12"/>
  <c r="R78" i="12"/>
  <c r="N80" i="12"/>
  <c r="AK82" i="12"/>
  <c r="AK86" i="12"/>
  <c r="AK87" i="12"/>
  <c r="N94" i="12"/>
  <c r="AK97" i="12"/>
  <c r="E103" i="12"/>
  <c r="M94" i="12"/>
  <c r="M83" i="12"/>
  <c r="M100" i="12"/>
  <c r="AC85" i="12"/>
  <c r="AC66" i="12"/>
  <c r="L42" i="12"/>
  <c r="AK68" i="12"/>
  <c r="AK70" i="12"/>
  <c r="AK96" i="12"/>
  <c r="N98" i="12"/>
  <c r="N101" i="12"/>
  <c r="N93" i="12"/>
  <c r="N81" i="12"/>
  <c r="N77" i="12"/>
  <c r="N69" i="12"/>
  <c r="N96" i="12"/>
  <c r="N75" i="12"/>
  <c r="AD98" i="12"/>
  <c r="AD93" i="12"/>
  <c r="AD75" i="12"/>
  <c r="AD87" i="12"/>
  <c r="AD80" i="12"/>
  <c r="N40" i="12"/>
  <c r="AK64" i="12"/>
  <c r="F66" i="12"/>
  <c r="O93" i="12"/>
  <c r="O79" i="12"/>
  <c r="O72" i="12"/>
  <c r="O94" i="12"/>
  <c r="G68" i="12"/>
  <c r="E71" i="12"/>
  <c r="M81" i="12"/>
  <c r="F82" i="12"/>
  <c r="F100" i="12"/>
  <c r="C100" i="12"/>
  <c r="C79" i="12"/>
  <c r="C77" i="12"/>
  <c r="S94" i="12"/>
  <c r="S86" i="12"/>
  <c r="S85" i="12"/>
  <c r="AA97" i="12"/>
  <c r="AA100" i="12"/>
  <c r="AA103" i="12"/>
  <c r="AA76" i="12"/>
  <c r="AI87" i="12"/>
  <c r="AI96" i="12"/>
  <c r="AI76" i="12"/>
  <c r="AI68" i="12"/>
  <c r="AI69" i="12"/>
  <c r="AK88" i="12"/>
  <c r="AK42" i="12"/>
  <c r="AK90" i="12" s="1"/>
  <c r="G67" i="12"/>
  <c r="R69" i="12"/>
  <c r="M70" i="12"/>
  <c r="X70" i="12"/>
  <c r="AK71" i="12"/>
  <c r="M73" i="12"/>
  <c r="E76" i="12"/>
  <c r="AK76" i="12"/>
  <c r="J77" i="12"/>
  <c r="E78" i="12"/>
  <c r="AK79" i="12"/>
  <c r="AI81" i="12"/>
  <c r="C83" i="12"/>
  <c r="AK83" i="12"/>
  <c r="M93" i="12"/>
  <c r="AI93" i="12"/>
  <c r="J96" i="12"/>
  <c r="I94" i="12"/>
  <c r="Q103" i="12"/>
  <c r="Q94" i="12"/>
  <c r="Q79" i="12"/>
  <c r="Y79" i="12"/>
  <c r="AG103" i="12"/>
  <c r="AG94" i="12"/>
  <c r="AG97" i="12"/>
  <c r="AG93" i="12"/>
  <c r="AG101" i="12"/>
  <c r="Q63" i="12"/>
  <c r="D64" i="12"/>
  <c r="AJ64" i="12"/>
  <c r="Q71" i="12"/>
  <c r="AG71" i="12"/>
  <c r="D72" i="12"/>
  <c r="Q97" i="12"/>
  <c r="D100" i="12"/>
  <c r="D95" i="12"/>
  <c r="D85" i="12"/>
  <c r="T100" i="12"/>
  <c r="T95" i="12"/>
  <c r="AJ100" i="12"/>
  <c r="AJ95" i="12"/>
  <c r="AJ85" i="12"/>
  <c r="AJ101" i="12"/>
  <c r="AJ80" i="12"/>
  <c r="K88" i="12"/>
  <c r="D63" i="12"/>
  <c r="AJ63" i="12"/>
  <c r="Y70" i="12"/>
  <c r="AG70" i="12"/>
  <c r="D71" i="12"/>
  <c r="T71" i="12"/>
  <c r="AB71" i="12"/>
  <c r="AJ71" i="12"/>
  <c r="AG80" i="12"/>
  <c r="AG81" i="12"/>
  <c r="D83" i="12"/>
  <c r="AJ83" i="12"/>
  <c r="AJ94" i="12"/>
  <c r="D96" i="12"/>
  <c r="AG96" i="12"/>
  <c r="D101" i="12"/>
  <c r="Q69" i="7"/>
  <c r="Q65" i="7"/>
  <c r="Q78" i="7"/>
  <c r="Q76" i="7"/>
  <c r="Q73" i="7"/>
  <c r="Q94" i="7"/>
  <c r="Q100" i="7"/>
  <c r="Q95" i="7"/>
  <c r="N89" i="9"/>
  <c r="N85" i="9"/>
  <c r="AA88" i="7"/>
  <c r="AA42" i="7"/>
  <c r="Y51" i="11"/>
  <c r="Y57" i="11" s="1"/>
  <c r="Y105" i="11" s="1"/>
  <c r="T95" i="7"/>
  <c r="T63" i="7"/>
  <c r="T68" i="7"/>
  <c r="T83" i="7"/>
  <c r="T78" i="7"/>
  <c r="T77" i="7"/>
  <c r="T93" i="7"/>
  <c r="T70" i="7"/>
  <c r="T97" i="7"/>
  <c r="T72" i="7"/>
  <c r="T75" i="7"/>
  <c r="T82" i="7"/>
  <c r="T81" i="7"/>
  <c r="T64" i="7"/>
  <c r="T80" i="7"/>
  <c r="T87" i="7"/>
  <c r="T101" i="7"/>
  <c r="T69" i="7"/>
  <c r="T86" i="7"/>
  <c r="T73" i="7"/>
  <c r="D63" i="11"/>
  <c r="D103" i="11"/>
  <c r="D69" i="11"/>
  <c r="D98" i="11"/>
  <c r="D79" i="11"/>
  <c r="D64" i="11"/>
  <c r="D78" i="11"/>
  <c r="D81" i="11"/>
  <c r="D65" i="11"/>
  <c r="D80" i="11"/>
  <c r="D70" i="11"/>
  <c r="D86" i="11"/>
  <c r="D74" i="11"/>
  <c r="D72" i="11"/>
  <c r="D93" i="11"/>
  <c r="D99" i="11"/>
  <c r="D97" i="11"/>
  <c r="D73" i="11"/>
  <c r="D68" i="11"/>
  <c r="D77" i="11"/>
  <c r="D75" i="11"/>
  <c r="D94" i="11"/>
  <c r="D82" i="11"/>
  <c r="D87" i="11"/>
  <c r="D101" i="11"/>
  <c r="D71" i="11"/>
  <c r="M76" i="7"/>
  <c r="M103" i="7"/>
  <c r="M79" i="7"/>
  <c r="M67" i="7"/>
  <c r="M78" i="11"/>
  <c r="M96" i="11"/>
  <c r="M66" i="11"/>
  <c r="M77" i="11"/>
  <c r="M87" i="11"/>
  <c r="M68" i="11"/>
  <c r="M65" i="11"/>
  <c r="M76" i="11"/>
  <c r="J73" i="7"/>
  <c r="J68" i="7"/>
  <c r="J80" i="7"/>
  <c r="J74" i="7"/>
  <c r="J69" i="7"/>
  <c r="J75" i="7"/>
  <c r="W42" i="11"/>
  <c r="W90" i="11" s="1"/>
  <c r="W88" i="11"/>
  <c r="Q88" i="11"/>
  <c r="M73" i="7"/>
  <c r="AB72" i="7"/>
  <c r="M88" i="11"/>
  <c r="J95" i="7"/>
  <c r="J72" i="7"/>
  <c r="M81" i="7"/>
  <c r="J103" i="10"/>
  <c r="J73" i="10"/>
  <c r="J89" i="10"/>
  <c r="I67" i="11"/>
  <c r="I85" i="11"/>
  <c r="I77" i="11"/>
  <c r="I64" i="11"/>
  <c r="I103" i="11"/>
  <c r="I70" i="11"/>
  <c r="I94" i="11"/>
  <c r="I93" i="11"/>
  <c r="I76" i="11"/>
  <c r="I69" i="11"/>
  <c r="I68" i="11"/>
  <c r="I66" i="11"/>
  <c r="I63" i="11"/>
  <c r="I75" i="11"/>
  <c r="I87" i="11"/>
  <c r="I83" i="11"/>
  <c r="I101" i="11"/>
  <c r="I96" i="11"/>
  <c r="I81" i="11"/>
  <c r="I86" i="11"/>
  <c r="I73" i="11"/>
  <c r="I89" i="11"/>
  <c r="E85" i="11"/>
  <c r="F67" i="7"/>
  <c r="F75" i="7"/>
  <c r="F94" i="7"/>
  <c r="F103" i="7"/>
  <c r="L78" i="11"/>
  <c r="L86" i="11"/>
  <c r="L96" i="11"/>
  <c r="L98" i="11"/>
  <c r="L74" i="11"/>
  <c r="L97" i="11"/>
  <c r="L79" i="11"/>
  <c r="L68" i="11"/>
  <c r="L67" i="11"/>
  <c r="L81" i="11"/>
  <c r="AA77" i="7"/>
  <c r="H81" i="11"/>
  <c r="H77" i="11"/>
  <c r="Y98" i="11"/>
  <c r="V75" i="7"/>
  <c r="T103" i="11"/>
  <c r="T86" i="11"/>
  <c r="T98" i="11"/>
  <c r="T74" i="11"/>
  <c r="T87" i="11"/>
  <c r="T101" i="11"/>
  <c r="T69" i="11"/>
  <c r="T93" i="11"/>
  <c r="T97" i="11"/>
  <c r="T66" i="11"/>
  <c r="T73" i="11"/>
  <c r="T68" i="11"/>
  <c r="T64" i="11"/>
  <c r="T78" i="11"/>
  <c r="Y67" i="11"/>
  <c r="Y101" i="11"/>
  <c r="Y65" i="11"/>
  <c r="Y103" i="11"/>
  <c r="Y73" i="11"/>
  <c r="Y79" i="11"/>
  <c r="Y72" i="11"/>
  <c r="B51" i="11"/>
  <c r="T63" i="11"/>
  <c r="P87" i="11"/>
  <c r="P70" i="11"/>
  <c r="U87" i="11"/>
  <c r="T57" i="11"/>
  <c r="T105" i="11"/>
  <c r="K82" i="11"/>
  <c r="K74" i="11"/>
  <c r="K86" i="11"/>
  <c r="K69" i="11"/>
  <c r="K103" i="11"/>
  <c r="K76" i="11"/>
  <c r="K90" i="11"/>
  <c r="C96" i="11"/>
  <c r="C101" i="11"/>
  <c r="C68" i="11"/>
  <c r="X51" i="11"/>
  <c r="X97" i="11"/>
  <c r="W89" i="11"/>
  <c r="W96" i="11"/>
  <c r="AC90" i="12"/>
  <c r="K68" i="12"/>
  <c r="C68" i="12"/>
  <c r="C81" i="12"/>
  <c r="C80" i="12"/>
  <c r="C70" i="12"/>
  <c r="I72" i="12"/>
  <c r="I71" i="12"/>
  <c r="I70" i="12"/>
  <c r="I87" i="12"/>
  <c r="I63" i="12"/>
  <c r="I78" i="12"/>
  <c r="I69" i="12"/>
  <c r="I65" i="12"/>
  <c r="I89" i="12"/>
  <c r="O75" i="12"/>
  <c r="O98" i="12"/>
  <c r="O89" i="12"/>
  <c r="O81" i="12"/>
  <c r="O73" i="12"/>
  <c r="O74" i="12"/>
  <c r="O69" i="12"/>
  <c r="O80" i="12"/>
  <c r="O65" i="12"/>
  <c r="O82" i="12"/>
  <c r="U100" i="12"/>
  <c r="N99" i="12"/>
  <c r="K78" i="12"/>
  <c r="C86" i="12"/>
  <c r="AB87" i="12"/>
  <c r="I103" i="12"/>
  <c r="K76" i="12"/>
  <c r="O78" i="12"/>
  <c r="O101" i="12"/>
  <c r="AI83" i="12"/>
  <c r="AI85" i="12"/>
  <c r="AI100" i="12"/>
  <c r="AI74" i="12"/>
  <c r="AI67" i="12"/>
  <c r="AI103" i="12"/>
  <c r="AI95" i="12"/>
  <c r="AI89" i="12"/>
  <c r="AI80" i="12"/>
  <c r="AI63" i="12"/>
  <c r="AI98" i="12"/>
  <c r="AI77" i="12"/>
  <c r="AI78" i="12"/>
  <c r="AI71" i="12"/>
  <c r="AF74" i="12"/>
  <c r="AB89" i="12"/>
  <c r="O76" i="12"/>
  <c r="M68" i="12"/>
  <c r="AI97" i="12"/>
  <c r="O64" i="12"/>
  <c r="M77" i="12"/>
  <c r="M74" i="12"/>
  <c r="AF100" i="12"/>
  <c r="O83" i="12"/>
  <c r="AF76" i="12"/>
  <c r="D80" i="12"/>
  <c r="D74" i="12"/>
  <c r="D97" i="12"/>
  <c r="D79" i="12"/>
  <c r="D76" i="12"/>
  <c r="D66" i="12"/>
  <c r="D69" i="12"/>
  <c r="J76" i="12"/>
  <c r="J67" i="12"/>
  <c r="J82" i="12"/>
  <c r="J93" i="12"/>
  <c r="J95" i="12"/>
  <c r="J69" i="12"/>
  <c r="J68" i="12"/>
  <c r="J89" i="12"/>
  <c r="J83" i="12"/>
  <c r="J75" i="12"/>
  <c r="J86" i="12"/>
  <c r="J74" i="12"/>
  <c r="J64" i="12"/>
  <c r="D88" i="12"/>
  <c r="AI65" i="12"/>
  <c r="I97" i="12"/>
  <c r="O95" i="12"/>
  <c r="S101" i="12"/>
  <c r="S95" i="12"/>
  <c r="S97" i="12"/>
  <c r="S83" i="12"/>
  <c r="S87" i="12"/>
  <c r="S77" i="12"/>
  <c r="S63" i="12"/>
  <c r="S98" i="12"/>
  <c r="S96" i="12"/>
  <c r="S69" i="12"/>
  <c r="S78" i="12"/>
  <c r="S103" i="12"/>
  <c r="AF95" i="12"/>
  <c r="AF63" i="12"/>
  <c r="AF85" i="12"/>
  <c r="AF70" i="12"/>
  <c r="AF66" i="12"/>
  <c r="AF77" i="12"/>
  <c r="AF96" i="12"/>
  <c r="AF83" i="12"/>
  <c r="AF86" i="12"/>
  <c r="AF78" i="12"/>
  <c r="AF87" i="12"/>
  <c r="AF80" i="12"/>
  <c r="I77" i="12"/>
  <c r="S68" i="12"/>
  <c r="M89" i="12"/>
  <c r="O86" i="12"/>
  <c r="U64" i="12"/>
  <c r="AF75" i="12"/>
  <c r="T79" i="12"/>
  <c r="T103" i="12"/>
  <c r="T80" i="12"/>
  <c r="Z89" i="12"/>
  <c r="AG85" i="12"/>
  <c r="AG100" i="12"/>
  <c r="AG82" i="12"/>
  <c r="AG79" i="12"/>
  <c r="AG87" i="12"/>
  <c r="AG67" i="12"/>
  <c r="AG89" i="12"/>
  <c r="T65" i="12"/>
  <c r="O68" i="12"/>
  <c r="S88" i="12"/>
  <c r="AK58" i="12"/>
  <c r="AK106" i="12" s="1"/>
  <c r="AK57" i="12"/>
  <c r="AK105" i="12" s="1"/>
  <c r="C89" i="12"/>
  <c r="O100" i="12"/>
  <c r="M87" i="12"/>
  <c r="M95" i="12"/>
  <c r="M80" i="12"/>
  <c r="M69" i="12"/>
  <c r="M85" i="12"/>
  <c r="M75" i="12"/>
  <c r="M98" i="12"/>
  <c r="M67" i="12"/>
  <c r="AI70" i="12"/>
  <c r="AI86" i="12"/>
  <c r="C94" i="12"/>
  <c r="O85" i="12"/>
  <c r="U81" i="12"/>
  <c r="I79" i="12"/>
  <c r="AI94" i="12"/>
  <c r="S76" i="12"/>
  <c r="O96" i="12"/>
  <c r="AF82" i="12"/>
  <c r="B97" i="12"/>
  <c r="H64" i="12"/>
  <c r="H77" i="12"/>
  <c r="H69" i="12"/>
  <c r="N66" i="12"/>
  <c r="N103" i="12"/>
  <c r="N78" i="12"/>
  <c r="N67" i="12"/>
  <c r="N87" i="12"/>
  <c r="N63" i="12"/>
  <c r="N85" i="12"/>
  <c r="N97" i="12"/>
  <c r="N76" i="12"/>
  <c r="N95" i="12"/>
  <c r="N70" i="12"/>
  <c r="N86" i="12"/>
  <c r="N82" i="12"/>
  <c r="N79" i="12"/>
  <c r="AA72" i="12"/>
  <c r="AA73" i="12"/>
  <c r="AA85" i="12"/>
  <c r="AA74" i="12"/>
  <c r="H42" i="12"/>
  <c r="J63" i="12"/>
  <c r="AA65" i="12"/>
  <c r="AI66" i="12"/>
  <c r="AB70" i="12"/>
  <c r="AI75" i="12"/>
  <c r="AI88" i="12"/>
  <c r="AF101" i="12"/>
  <c r="L101" i="12"/>
  <c r="AJ72" i="12"/>
  <c r="AJ66" i="12"/>
  <c r="AJ73" i="12"/>
  <c r="Q77" i="12"/>
  <c r="Y82" i="12"/>
  <c r="D98" i="12"/>
  <c r="AE63" i="12"/>
  <c r="L65" i="12"/>
  <c r="F76" i="12"/>
  <c r="X77" i="12"/>
  <c r="Y87" i="12"/>
  <c r="X100" i="12"/>
  <c r="G74" i="12"/>
  <c r="M42" i="12"/>
  <c r="M58" i="12"/>
  <c r="M106" i="12" s="1"/>
  <c r="AA40" i="12"/>
  <c r="AC57" i="12"/>
  <c r="AC105" i="12"/>
  <c r="AC99" i="12"/>
  <c r="AH69" i="12"/>
  <c r="AH90" i="12"/>
  <c r="P99" i="12"/>
  <c r="P65" i="12"/>
  <c r="P101" i="12"/>
  <c r="K99" i="12"/>
  <c r="AB63" i="12"/>
  <c r="K77" i="12"/>
  <c r="E42" i="12"/>
  <c r="AB96" i="12"/>
  <c r="K93" i="12"/>
  <c r="F99" i="12"/>
  <c r="K81" i="12"/>
  <c r="F73" i="12"/>
  <c r="AD96" i="12"/>
  <c r="AD68" i="12"/>
  <c r="AD101" i="12"/>
  <c r="AD69" i="12"/>
  <c r="AD100" i="12"/>
  <c r="AD79" i="12"/>
  <c r="AD97" i="12"/>
  <c r="AD82" i="12"/>
  <c r="AB95" i="12"/>
  <c r="AB64" i="12"/>
  <c r="K82" i="12"/>
  <c r="AD81" i="12"/>
  <c r="X82" i="12"/>
  <c r="R89" i="12"/>
  <c r="F86" i="12"/>
  <c r="F98" i="12"/>
  <c r="E88" i="12"/>
  <c r="AD85" i="12"/>
  <c r="X67" i="12"/>
  <c r="B77" i="12"/>
  <c r="B67" i="12"/>
  <c r="B96" i="12"/>
  <c r="B65" i="12"/>
  <c r="B75" i="12"/>
  <c r="B89" i="12"/>
  <c r="H83" i="12"/>
  <c r="H74" i="12"/>
  <c r="H76" i="12"/>
  <c r="H73" i="12"/>
  <c r="H63" i="12"/>
  <c r="M64" i="12"/>
  <c r="M86" i="12"/>
  <c r="M78" i="12"/>
  <c r="M65" i="12"/>
  <c r="M103" i="12"/>
  <c r="M66" i="12"/>
  <c r="M82" i="12"/>
  <c r="M97" i="12"/>
  <c r="M79" i="12"/>
  <c r="M71" i="12"/>
  <c r="M96" i="12"/>
  <c r="M72" i="12"/>
  <c r="U78" i="12"/>
  <c r="AM30" i="12"/>
  <c r="K57" i="12"/>
  <c r="K105" i="12"/>
  <c r="AB88" i="12"/>
  <c r="AB57" i="12"/>
  <c r="AB105" i="12"/>
  <c r="AH99" i="12"/>
  <c r="AB65" i="12"/>
  <c r="K96" i="12"/>
  <c r="K65" i="12"/>
  <c r="K75" i="12"/>
  <c r="K67" i="12"/>
  <c r="K63" i="12"/>
  <c r="K73" i="12"/>
  <c r="K79" i="12"/>
  <c r="K66" i="12"/>
  <c r="K97" i="12"/>
  <c r="K103" i="12"/>
  <c r="K69" i="12"/>
  <c r="K71" i="12"/>
  <c r="K89" i="12"/>
  <c r="K94" i="12"/>
  <c r="K95" i="12"/>
  <c r="K74" i="12"/>
  <c r="K72" i="12"/>
  <c r="AB97" i="12"/>
  <c r="AB73" i="12"/>
  <c r="AB86" i="12"/>
  <c r="AB81" i="12"/>
  <c r="AB76" i="12"/>
  <c r="AB75" i="12"/>
  <c r="AB68" i="12"/>
  <c r="AB69" i="12"/>
  <c r="AB72" i="12"/>
  <c r="AB98" i="12"/>
  <c r="AB101" i="12"/>
  <c r="AB79" i="12"/>
  <c r="AB67" i="12"/>
  <c r="AB93" i="12"/>
  <c r="AB66" i="12"/>
  <c r="V85" i="12"/>
  <c r="V81" i="12"/>
  <c r="V65" i="12"/>
  <c r="V98" i="12"/>
  <c r="AB83" i="12"/>
  <c r="AC63" i="12"/>
  <c r="AC103" i="12"/>
  <c r="AC98" i="12"/>
  <c r="AC81" i="12"/>
  <c r="AC75" i="12"/>
  <c r="AC69" i="12"/>
  <c r="AJ58" i="12"/>
  <c r="AJ106" i="12"/>
  <c r="AB78" i="12"/>
  <c r="K64" i="12"/>
  <c r="AC76" i="12"/>
  <c r="F96" i="12"/>
  <c r="P93" i="12"/>
  <c r="X69" i="12"/>
  <c r="X103" i="12"/>
  <c r="X73" i="12"/>
  <c r="X87" i="12"/>
  <c r="X64" i="12"/>
  <c r="X80" i="12"/>
  <c r="X68" i="12"/>
  <c r="X94" i="12"/>
  <c r="X85" i="12"/>
  <c r="X89" i="12"/>
  <c r="X76" i="12"/>
  <c r="X66" i="12"/>
  <c r="X81" i="12"/>
  <c r="X63" i="12"/>
  <c r="X74" i="12"/>
  <c r="X79" i="12"/>
  <c r="X101" i="12"/>
  <c r="K85" i="12"/>
  <c r="AB103" i="12"/>
  <c r="AB100" i="12"/>
  <c r="W71" i="12"/>
  <c r="P63" i="12"/>
  <c r="K83" i="12"/>
  <c r="AD72" i="12"/>
  <c r="AD89" i="12"/>
  <c r="F67" i="12"/>
  <c r="X65" i="12"/>
  <c r="X75" i="12"/>
  <c r="C72" i="12"/>
  <c r="C78" i="12"/>
  <c r="C71" i="12"/>
  <c r="C103" i="12"/>
  <c r="C73" i="12"/>
  <c r="C97" i="12"/>
  <c r="C82" i="12"/>
  <c r="C75" i="12"/>
  <c r="C66" i="12"/>
  <c r="C64" i="12"/>
  <c r="C99" i="12"/>
  <c r="C93" i="12"/>
  <c r="C85" i="12"/>
  <c r="C101" i="12"/>
  <c r="C74" i="12"/>
  <c r="C95" i="12"/>
  <c r="I100" i="12"/>
  <c r="I82" i="12"/>
  <c r="I66" i="12"/>
  <c r="I101" i="12"/>
  <c r="I95" i="12"/>
  <c r="I86" i="12"/>
  <c r="I76" i="12"/>
  <c r="I74" i="12"/>
  <c r="I93" i="12"/>
  <c r="I81" i="12"/>
  <c r="I98" i="12"/>
  <c r="I80" i="12"/>
  <c r="I75" i="12"/>
  <c r="I85" i="12"/>
  <c r="I67" i="12"/>
  <c r="I73" i="12"/>
  <c r="S93" i="12"/>
  <c r="S70" i="12"/>
  <c r="S67" i="12"/>
  <c r="S82" i="12"/>
  <c r="S80" i="12"/>
  <c r="S72" i="12"/>
  <c r="S73" i="12"/>
  <c r="S71" i="12"/>
  <c r="S89" i="12"/>
  <c r="S81" i="12"/>
  <c r="S65" i="12"/>
  <c r="S79" i="12"/>
  <c r="S66" i="12"/>
  <c r="S100" i="12"/>
  <c r="S74" i="12"/>
  <c r="AJ57" i="12"/>
  <c r="AJ105" i="12" s="1"/>
  <c r="V42" i="12"/>
  <c r="I99" i="12"/>
  <c r="AB99" i="12"/>
  <c r="C65" i="12"/>
  <c r="AD65" i="12"/>
  <c r="AG73" i="12"/>
  <c r="AD74" i="12"/>
  <c r="AB77" i="12"/>
  <c r="P79" i="12"/>
  <c r="I83" i="12"/>
  <c r="I96" i="12"/>
  <c r="K101" i="12"/>
  <c r="O88" i="12"/>
  <c r="O42" i="12"/>
  <c r="O58" i="12" s="1"/>
  <c r="O106" i="12" s="1"/>
  <c r="AB82" i="12"/>
  <c r="AB94" i="12"/>
  <c r="K86" i="12"/>
  <c r="AF88" i="12"/>
  <c r="AF42" i="12"/>
  <c r="K80" i="12"/>
  <c r="F64" i="12"/>
  <c r="F83" i="12"/>
  <c r="F95" i="12"/>
  <c r="F71" i="12"/>
  <c r="F85" i="12"/>
  <c r="F103" i="12"/>
  <c r="F65" i="12"/>
  <c r="F101" i="12"/>
  <c r="F79" i="12"/>
  <c r="F70" i="12"/>
  <c r="F81" i="12"/>
  <c r="F74" i="12"/>
  <c r="F93" i="12"/>
  <c r="F77" i="12"/>
  <c r="F72" i="12"/>
  <c r="F63" i="12"/>
  <c r="W74" i="12"/>
  <c r="W82" i="12"/>
  <c r="W63" i="12"/>
  <c r="W86" i="12"/>
  <c r="W87" i="12"/>
  <c r="W95" i="12"/>
  <c r="W65" i="12"/>
  <c r="W70" i="12"/>
  <c r="R58" i="12"/>
  <c r="R106" i="12"/>
  <c r="AB85" i="12"/>
  <c r="K100" i="12"/>
  <c r="AC97" i="12"/>
  <c r="F75" i="12"/>
  <c r="R75" i="12"/>
  <c r="R80" i="12"/>
  <c r="R72" i="12"/>
  <c r="R70" i="12"/>
  <c r="R63" i="12"/>
  <c r="R98" i="12"/>
  <c r="R65" i="12"/>
  <c r="R95" i="12"/>
  <c r="R86" i="12"/>
  <c r="R68" i="12"/>
  <c r="R103" i="12"/>
  <c r="R93" i="12"/>
  <c r="R85" i="12"/>
  <c r="R81" i="12"/>
  <c r="R67" i="12"/>
  <c r="R76" i="12"/>
  <c r="AB80" i="12"/>
  <c r="K98" i="12"/>
  <c r="F68" i="12"/>
  <c r="AD77" i="12"/>
  <c r="AC72" i="12"/>
  <c r="V89" i="12"/>
  <c r="X72" i="12"/>
  <c r="R66" i="12"/>
  <c r="R100" i="12"/>
  <c r="K70" i="12"/>
  <c r="F69" i="12"/>
  <c r="AC64" i="12"/>
  <c r="X97" i="12"/>
  <c r="AG76" i="12"/>
  <c r="AG68" i="12"/>
  <c r="AG77" i="12"/>
  <c r="AG69" i="12"/>
  <c r="AG66" i="12"/>
  <c r="AG75" i="12"/>
  <c r="AG95" i="12"/>
  <c r="AG63" i="12"/>
  <c r="AG64" i="12"/>
  <c r="AG78" i="12"/>
  <c r="AG74" i="12"/>
  <c r="AG99" i="12"/>
  <c r="AG86" i="12"/>
  <c r="AD57" i="12"/>
  <c r="AD105" i="12" s="1"/>
  <c r="I64" i="12"/>
  <c r="I68" i="12"/>
  <c r="R79" i="12"/>
  <c r="D87" i="12"/>
  <c r="D70" i="12"/>
  <c r="D103" i="12"/>
  <c r="D73" i="12"/>
  <c r="D94" i="12"/>
  <c r="D86" i="12"/>
  <c r="D65" i="12"/>
  <c r="N71" i="12"/>
  <c r="N68" i="12"/>
  <c r="T66" i="12"/>
  <c r="T78" i="12"/>
  <c r="AE89" i="12"/>
  <c r="AE74" i="12"/>
  <c r="AE101" i="12"/>
  <c r="AE64" i="12"/>
  <c r="AJ89" i="12"/>
  <c r="AJ79" i="12"/>
  <c r="AJ74" i="12"/>
  <c r="AJ81" i="12"/>
  <c r="AJ82" i="12"/>
  <c r="AJ78" i="12"/>
  <c r="AJ70" i="12"/>
  <c r="AJ65" i="12"/>
  <c r="X83" i="12"/>
  <c r="S99" i="12"/>
  <c r="D67" i="12"/>
  <c r="N72" i="12"/>
  <c r="AJ77" i="12"/>
  <c r="AJ97" i="12"/>
  <c r="AJ103" i="12"/>
  <c r="J79" i="12"/>
  <c r="J81" i="12"/>
  <c r="O103" i="12"/>
  <c r="O70" i="12"/>
  <c r="O97" i="12"/>
  <c r="Z72" i="12"/>
  <c r="Z79" i="12"/>
  <c r="AK80" i="12"/>
  <c r="AK99" i="12"/>
  <c r="AK103" i="12"/>
  <c r="H99" i="12"/>
  <c r="M99" i="12"/>
  <c r="AE67" i="12"/>
  <c r="J70" i="12"/>
  <c r="O71" i="12"/>
  <c r="N73" i="12"/>
  <c r="D75" i="12"/>
  <c r="O77" i="12"/>
  <c r="D78" i="12"/>
  <c r="D81" i="12"/>
  <c r="D93" i="12"/>
  <c r="AE95" i="12"/>
  <c r="AJ98" i="12"/>
  <c r="N64" i="12"/>
  <c r="Z68" i="12"/>
  <c r="J78" i="12"/>
  <c r="AJ87" i="12"/>
  <c r="G57" i="12"/>
  <c r="G105" i="12"/>
  <c r="L68" i="12"/>
  <c r="Q69" i="12"/>
  <c r="AA71" i="12"/>
  <c r="G76" i="12"/>
  <c r="Q82" i="12"/>
  <c r="Q85" i="12"/>
  <c r="AA89" i="12"/>
  <c r="L97" i="12"/>
  <c r="I57" i="12"/>
  <c r="I105" i="12"/>
  <c r="AA64" i="12"/>
  <c r="Q68" i="12"/>
  <c r="AI73" i="12"/>
  <c r="L76" i="12"/>
  <c r="AA80" i="12"/>
  <c r="Q81" i="12"/>
  <c r="AA82" i="12"/>
  <c r="Q86" i="12"/>
  <c r="Q95" i="12"/>
  <c r="G99" i="12"/>
  <c r="H57" i="12"/>
  <c r="H105" i="12"/>
  <c r="R57" i="12"/>
  <c r="R105" i="12"/>
  <c r="AC58" i="12"/>
  <c r="AC106" i="12" s="1"/>
  <c r="J99" i="12"/>
  <c r="S57" i="12"/>
  <c r="S105" i="12" s="1"/>
  <c r="T99" i="12"/>
  <c r="X99" i="12"/>
  <c r="H58" i="12"/>
  <c r="R99" i="12"/>
  <c r="O57" i="12"/>
  <c r="O105" i="12" s="1"/>
  <c r="W75" i="7"/>
  <c r="W74" i="7"/>
  <c r="W71" i="7"/>
  <c r="W64" i="7"/>
  <c r="W81" i="7"/>
  <c r="W83" i="7"/>
  <c r="U57" i="7"/>
  <c r="U105" i="7"/>
  <c r="AB87" i="7"/>
  <c r="AB98" i="7"/>
  <c r="AB89" i="7"/>
  <c r="Z94" i="7"/>
  <c r="AB70" i="7"/>
  <c r="AB79" i="7"/>
  <c r="Z77" i="7"/>
  <c r="Z63" i="7"/>
  <c r="Z65" i="7"/>
  <c r="Z97" i="7"/>
  <c r="AH30" i="7"/>
  <c r="C57" i="7"/>
  <c r="C105" i="7" s="1"/>
  <c r="AB42" i="7"/>
  <c r="G95" i="7"/>
  <c r="AB100" i="7"/>
  <c r="Z82" i="7"/>
  <c r="K74" i="7"/>
  <c r="K63" i="7"/>
  <c r="K76" i="7"/>
  <c r="K87" i="7"/>
  <c r="K73" i="7"/>
  <c r="K70" i="7"/>
  <c r="K96" i="7"/>
  <c r="K71" i="7"/>
  <c r="K64" i="7"/>
  <c r="K69" i="7"/>
  <c r="K101" i="7"/>
  <c r="K67" i="7"/>
  <c r="K66" i="7"/>
  <c r="K75" i="7"/>
  <c r="O96" i="7"/>
  <c r="O75" i="7"/>
  <c r="O98" i="7"/>
  <c r="O94" i="7"/>
  <c r="O78" i="7"/>
  <c r="O65" i="7"/>
  <c r="O74" i="7"/>
  <c r="V85" i="7"/>
  <c r="V89" i="7"/>
  <c r="V94" i="7"/>
  <c r="V100" i="7"/>
  <c r="V103" i="7"/>
  <c r="V74" i="7"/>
  <c r="AA96" i="7"/>
  <c r="AA75" i="7"/>
  <c r="AA86" i="7"/>
  <c r="AA72" i="7"/>
  <c r="AA64" i="7"/>
  <c r="AA85" i="7"/>
  <c r="AA87" i="7"/>
  <c r="F57" i="7"/>
  <c r="F105" i="7" s="1"/>
  <c r="AB63" i="7"/>
  <c r="AB103" i="7"/>
  <c r="U81" i="7"/>
  <c r="U87" i="7"/>
  <c r="AC88" i="7"/>
  <c r="C90" i="7"/>
  <c r="Z68" i="7"/>
  <c r="AH7" i="7"/>
  <c r="C83" i="7"/>
  <c r="C72" i="7"/>
  <c r="C69" i="7"/>
  <c r="C66" i="7"/>
  <c r="C78" i="7"/>
  <c r="C93" i="7"/>
  <c r="H103" i="7"/>
  <c r="H71" i="7"/>
  <c r="H83" i="7"/>
  <c r="H79" i="7"/>
  <c r="H98" i="7"/>
  <c r="P78" i="7"/>
  <c r="P94" i="7"/>
  <c r="P66" i="7"/>
  <c r="P97" i="7"/>
  <c r="P79" i="7"/>
  <c r="M42" i="7"/>
  <c r="M58" i="7" s="1"/>
  <c r="Z81" i="7"/>
  <c r="Z73" i="7"/>
  <c r="Z76" i="7"/>
  <c r="Z100" i="7"/>
  <c r="Z96" i="7"/>
  <c r="Z80" i="7"/>
  <c r="Z71" i="7"/>
  <c r="Z79" i="7"/>
  <c r="Z70" i="7"/>
  <c r="Z86" i="7"/>
  <c r="Z85" i="7"/>
  <c r="Z89" i="7"/>
  <c r="Z95" i="7"/>
  <c r="Z75" i="7"/>
  <c r="Z83" i="7"/>
  <c r="Z74" i="7"/>
  <c r="Z78" i="7"/>
  <c r="Z93" i="7"/>
  <c r="AB81" i="7"/>
  <c r="Z87" i="7"/>
  <c r="Z66" i="7"/>
  <c r="Z72" i="7"/>
  <c r="Z103" i="7"/>
  <c r="D80" i="7"/>
  <c r="D72" i="7"/>
  <c r="D76" i="7"/>
  <c r="L73" i="7"/>
  <c r="L97" i="7"/>
  <c r="Q64" i="7"/>
  <c r="Q82" i="7"/>
  <c r="Q72" i="7"/>
  <c r="Q77" i="7"/>
  <c r="Q74" i="7"/>
  <c r="Q96" i="7"/>
  <c r="Q83" i="7"/>
  <c r="Q66" i="7"/>
  <c r="Q86" i="7"/>
  <c r="Q87" i="7"/>
  <c r="Q97" i="7"/>
  <c r="Q81" i="7"/>
  <c r="V40" i="7"/>
  <c r="V88" i="7" s="1"/>
  <c r="V83" i="7"/>
  <c r="T88" i="7"/>
  <c r="AF58" i="7"/>
  <c r="AF106" i="7"/>
  <c r="D105" i="7"/>
  <c r="W57" i="7"/>
  <c r="W105" i="7" s="1"/>
  <c r="F99" i="7"/>
  <c r="AD57" i="7"/>
  <c r="AD105" i="7"/>
  <c r="AF57" i="7"/>
  <c r="AF105" i="7" s="1"/>
  <c r="M83" i="9"/>
  <c r="I68" i="9"/>
  <c r="T51" i="9"/>
  <c r="I86" i="9"/>
  <c r="U86" i="9"/>
  <c r="I73" i="10"/>
  <c r="V73" i="10"/>
  <c r="V67" i="10"/>
  <c r="V89" i="10"/>
  <c r="V95" i="10"/>
  <c r="AC64" i="10"/>
  <c r="I66" i="9"/>
  <c r="P67" i="9"/>
  <c r="Q63" i="9"/>
  <c r="Q101" i="9"/>
  <c r="Q72" i="9"/>
  <c r="Q69" i="9"/>
  <c r="Q94" i="9"/>
  <c r="Q86" i="9"/>
  <c r="Q67" i="9"/>
  <c r="R89" i="9"/>
  <c r="M63" i="9"/>
  <c r="C83" i="9"/>
  <c r="Q85" i="9"/>
  <c r="R79" i="9"/>
  <c r="Q97" i="9"/>
  <c r="Z71" i="9"/>
  <c r="J74" i="9"/>
  <c r="Y77" i="9"/>
  <c r="R72" i="9"/>
  <c r="Q73" i="9"/>
  <c r="R103" i="9"/>
  <c r="R87" i="9"/>
  <c r="R66" i="9"/>
  <c r="R98" i="9"/>
  <c r="R86" i="9"/>
  <c r="R77" i="9"/>
  <c r="R70" i="9"/>
  <c r="R65" i="9"/>
  <c r="Z97" i="9"/>
  <c r="R85" i="9"/>
  <c r="R76" i="9"/>
  <c r="R69" i="9"/>
  <c r="R64" i="9"/>
  <c r="D78" i="9"/>
  <c r="AD83" i="9"/>
  <c r="M71" i="9"/>
  <c r="AD77" i="9"/>
  <c r="R97" i="9"/>
  <c r="R83" i="9"/>
  <c r="R75" i="9"/>
  <c r="R67" i="9"/>
  <c r="R63" i="9"/>
  <c r="AD71" i="9"/>
  <c r="M79" i="9"/>
  <c r="AD67" i="9"/>
  <c r="I57" i="9"/>
  <c r="I105" i="9" s="1"/>
  <c r="Z103" i="9"/>
  <c r="R101" i="9"/>
  <c r="R71" i="9"/>
  <c r="Z75" i="9"/>
  <c r="C66" i="9"/>
  <c r="R96" i="9"/>
  <c r="D72" i="9"/>
  <c r="M81" i="9"/>
  <c r="Z72" i="9"/>
  <c r="R95" i="9"/>
  <c r="R80" i="9"/>
  <c r="Z73" i="9"/>
  <c r="D101" i="9"/>
  <c r="D67" i="9"/>
  <c r="AD96" i="9"/>
  <c r="R78" i="9"/>
  <c r="R82" i="9"/>
  <c r="R74" i="9"/>
  <c r="L103" i="9"/>
  <c r="E68" i="9"/>
  <c r="Z82" i="9"/>
  <c r="R93" i="9"/>
  <c r="Z79" i="9"/>
  <c r="R73" i="9"/>
  <c r="C95" i="9"/>
  <c r="D98" i="9"/>
  <c r="L64" i="9"/>
  <c r="AD103" i="9"/>
  <c r="AD87" i="9"/>
  <c r="E86" i="9"/>
  <c r="M85" i="9"/>
  <c r="M86" i="9"/>
  <c r="N87" i="9"/>
  <c r="E70" i="9"/>
  <c r="M87" i="9"/>
  <c r="M67" i="9"/>
  <c r="M95" i="9"/>
  <c r="M64" i="9"/>
  <c r="F98" i="9"/>
  <c r="G63" i="9"/>
  <c r="G64" i="9"/>
  <c r="Q96" i="9"/>
  <c r="Q79" i="9"/>
  <c r="Q68" i="9"/>
  <c r="E72" i="9"/>
  <c r="M89" i="9"/>
  <c r="M69" i="9"/>
  <c r="M96" i="9"/>
  <c r="E65" i="9"/>
  <c r="F97" i="9"/>
  <c r="Q95" i="9"/>
  <c r="Q78" i="9"/>
  <c r="R94" i="9"/>
  <c r="R81" i="9"/>
  <c r="Z74" i="9"/>
  <c r="AD75" i="9"/>
  <c r="E81" i="9"/>
  <c r="G98" i="9"/>
  <c r="M93" i="9"/>
  <c r="M74" i="9"/>
  <c r="M97" i="9"/>
  <c r="AD82" i="9"/>
  <c r="AD79" i="9"/>
  <c r="M72" i="9"/>
  <c r="G74" i="9"/>
  <c r="M73" i="9"/>
  <c r="M98" i="9"/>
  <c r="M103" i="9"/>
  <c r="F93" i="9"/>
  <c r="B77" i="9"/>
  <c r="G82" i="9"/>
  <c r="N63" i="9"/>
  <c r="Q87" i="9"/>
  <c r="Q76" i="9"/>
  <c r="AC65" i="9"/>
  <c r="E76" i="9"/>
  <c r="M80" i="9"/>
  <c r="M101" i="9"/>
  <c r="M76" i="9"/>
  <c r="M68" i="9"/>
  <c r="AD74" i="9"/>
  <c r="AC98" i="9"/>
  <c r="M94" i="9"/>
  <c r="M99" i="9" s="1"/>
  <c r="F78" i="9"/>
  <c r="G77" i="9"/>
  <c r="E93" i="9"/>
  <c r="M75" i="9"/>
  <c r="N65" i="9"/>
  <c r="Y86" i="9"/>
  <c r="Y74" i="9"/>
  <c r="Q65" i="9"/>
  <c r="M65" i="9"/>
  <c r="AD63" i="9"/>
  <c r="AD95" i="9"/>
  <c r="M82" i="9"/>
  <c r="M70" i="9"/>
  <c r="M78" i="9"/>
  <c r="M77" i="9"/>
  <c r="AD72" i="9"/>
  <c r="AC97" i="9"/>
  <c r="R57" i="9"/>
  <c r="R105" i="9" s="1"/>
  <c r="I101" i="9"/>
  <c r="I94" i="9"/>
  <c r="I99" i="9" s="1"/>
  <c r="I72" i="9"/>
  <c r="I65" i="9"/>
  <c r="V87" i="9"/>
  <c r="V101" i="9"/>
  <c r="AC73" i="9"/>
  <c r="Z86" i="9"/>
  <c r="X71" i="9"/>
  <c r="N69" i="9"/>
  <c r="F64" i="9"/>
  <c r="F73" i="9"/>
  <c r="Q98" i="9"/>
  <c r="Q93" i="9"/>
  <c r="Q82" i="9"/>
  <c r="Q77" i="9"/>
  <c r="Q71" i="9"/>
  <c r="Z81" i="9"/>
  <c r="Z69" i="9"/>
  <c r="Q64" i="9"/>
  <c r="Z65" i="9"/>
  <c r="D95" i="9"/>
  <c r="D77" i="9"/>
  <c r="W87" i="9"/>
  <c r="V81" i="9"/>
  <c r="AD81" i="9"/>
  <c r="V78" i="9"/>
  <c r="AD101" i="9"/>
  <c r="AD89" i="9"/>
  <c r="AD70" i="9"/>
  <c r="AC68" i="9"/>
  <c r="AC77" i="9"/>
  <c r="V64" i="9"/>
  <c r="V89" i="9"/>
  <c r="AC103" i="9"/>
  <c r="I93" i="9"/>
  <c r="I82" i="9"/>
  <c r="I71" i="9"/>
  <c r="W76" i="9"/>
  <c r="V77" i="9"/>
  <c r="V74" i="9"/>
  <c r="AC69" i="9"/>
  <c r="AC79" i="9"/>
  <c r="Z68" i="9"/>
  <c r="AA97" i="9"/>
  <c r="N66" i="9"/>
  <c r="N74" i="9"/>
  <c r="I97" i="9"/>
  <c r="Q89" i="9"/>
  <c r="Q81" i="9"/>
  <c r="Q75" i="9"/>
  <c r="Q70" i="9"/>
  <c r="Z87" i="9"/>
  <c r="Z64" i="9"/>
  <c r="V75" i="9"/>
  <c r="AD73" i="9"/>
  <c r="V72" i="9"/>
  <c r="AD93" i="9"/>
  <c r="AD99" i="9" s="1"/>
  <c r="AD85" i="9"/>
  <c r="AC64" i="9"/>
  <c r="AC71" i="9"/>
  <c r="AC81" i="9"/>
  <c r="AA103" i="9"/>
  <c r="F88" i="9"/>
  <c r="V96" i="9"/>
  <c r="V99" i="9" s="1"/>
  <c r="AC101" i="9"/>
  <c r="B42" i="9"/>
  <c r="I81" i="9"/>
  <c r="V73" i="9"/>
  <c r="V70" i="9"/>
  <c r="AC76" i="9"/>
  <c r="AC89" i="9"/>
  <c r="W103" i="9"/>
  <c r="Z93" i="9"/>
  <c r="F66" i="9"/>
  <c r="I96" i="9"/>
  <c r="Q80" i="9"/>
  <c r="Q74" i="9"/>
  <c r="I69" i="9"/>
  <c r="Q66" i="9"/>
  <c r="D71" i="9"/>
  <c r="W68" i="9"/>
  <c r="AD66" i="9"/>
  <c r="AD69" i="9"/>
  <c r="AD65" i="9"/>
  <c r="AD97" i="9"/>
  <c r="V97" i="9"/>
  <c r="AC87" i="9"/>
  <c r="V65" i="9"/>
  <c r="C57" i="9"/>
  <c r="C105" i="9"/>
  <c r="N98" i="9"/>
  <c r="F96" i="9"/>
  <c r="N82" i="9"/>
  <c r="H81" i="9"/>
  <c r="H66" i="9"/>
  <c r="N73" i="9"/>
  <c r="N64" i="9"/>
  <c r="F87" i="9"/>
  <c r="G94" i="9"/>
  <c r="Y98" i="9"/>
  <c r="I85" i="9"/>
  <c r="I77" i="9"/>
  <c r="I74" i="9"/>
  <c r="Z67" i="9"/>
  <c r="AA77" i="9"/>
  <c r="Z63" i="9"/>
  <c r="T83" i="9"/>
  <c r="T101" i="9"/>
  <c r="N70" i="9"/>
  <c r="N72" i="9"/>
  <c r="F76" i="9"/>
  <c r="F95" i="9"/>
  <c r="F79" i="9"/>
  <c r="B63" i="9"/>
  <c r="N81" i="9"/>
  <c r="I95" i="9"/>
  <c r="I89" i="9"/>
  <c r="I83" i="9"/>
  <c r="Y79" i="9"/>
  <c r="I70" i="9"/>
  <c r="I67" i="9"/>
  <c r="I64" i="9"/>
  <c r="N83" i="9"/>
  <c r="H103" i="9"/>
  <c r="H97" i="9"/>
  <c r="H71" i="9"/>
  <c r="T93" i="9"/>
  <c r="N75" i="9"/>
  <c r="F86" i="9"/>
  <c r="N71" i="9"/>
  <c r="N101" i="9"/>
  <c r="F83" i="9"/>
  <c r="F77" i="9"/>
  <c r="N80" i="9"/>
  <c r="I98" i="9"/>
  <c r="Y94" i="9"/>
  <c r="Y99" i="9" s="1"/>
  <c r="Y82" i="9"/>
  <c r="I76" i="9"/>
  <c r="I73" i="9"/>
  <c r="Y69" i="9"/>
  <c r="Z94" i="9"/>
  <c r="Y66" i="9"/>
  <c r="AA70" i="9"/>
  <c r="O75" i="9"/>
  <c r="H85" i="9"/>
  <c r="H87" i="9"/>
  <c r="N79" i="9"/>
  <c r="F80" i="9"/>
  <c r="Y67" i="9"/>
  <c r="H98" i="9"/>
  <c r="P58" i="9"/>
  <c r="P106" i="9"/>
  <c r="Z78" i="9"/>
  <c r="N78" i="9"/>
  <c r="F71" i="9"/>
  <c r="N103" i="9"/>
  <c r="I80" i="9"/>
  <c r="Z98" i="9"/>
  <c r="N86" i="9"/>
  <c r="H95" i="9"/>
  <c r="Z96" i="9"/>
  <c r="Z95" i="9"/>
  <c r="Z99" i="9" s="1"/>
  <c r="N95" i="9"/>
  <c r="N77" i="9"/>
  <c r="N97" i="9"/>
  <c r="F85" i="9"/>
  <c r="F74" i="9"/>
  <c r="F70" i="9"/>
  <c r="B94" i="9"/>
  <c r="N94" i="9"/>
  <c r="I87" i="9"/>
  <c r="I79" i="9"/>
  <c r="Y75" i="9"/>
  <c r="I63" i="9"/>
  <c r="AD78" i="9"/>
  <c r="N90" i="9"/>
  <c r="H64" i="9"/>
  <c r="T68" i="9"/>
  <c r="T96" i="9"/>
  <c r="T63" i="9"/>
  <c r="N67" i="9"/>
  <c r="N93" i="9"/>
  <c r="N68" i="9"/>
  <c r="F69" i="9"/>
  <c r="F103" i="9"/>
  <c r="F68" i="9"/>
  <c r="N76" i="9"/>
  <c r="Y96" i="9"/>
  <c r="Y93" i="9"/>
  <c r="I78" i="9"/>
  <c r="I75" i="9"/>
  <c r="Y71" i="9"/>
  <c r="Y65" i="9"/>
  <c r="T97" i="9"/>
  <c r="H57" i="9"/>
  <c r="H105" i="9" s="1"/>
  <c r="H42" i="9"/>
  <c r="H90" i="9" s="1"/>
  <c r="AB90" i="9"/>
  <c r="AA83" i="9"/>
  <c r="J82" i="9"/>
  <c r="E42" i="9"/>
  <c r="E90" i="9" s="1"/>
  <c r="H79" i="9"/>
  <c r="C71" i="9"/>
  <c r="C89" i="9"/>
  <c r="Y95" i="9"/>
  <c r="Y76" i="9"/>
  <c r="Y68" i="9"/>
  <c r="AA74" i="9"/>
  <c r="AA67" i="9"/>
  <c r="D97" i="9"/>
  <c r="L87" i="9"/>
  <c r="V71" i="9"/>
  <c r="V85" i="9"/>
  <c r="V68" i="9"/>
  <c r="V103" i="9"/>
  <c r="V63" i="9"/>
  <c r="B79" i="9"/>
  <c r="G78" i="9"/>
  <c r="J86" i="9"/>
  <c r="U66" i="9"/>
  <c r="H96" i="9"/>
  <c r="AA65" i="9"/>
  <c r="AA96" i="9"/>
  <c r="H78" i="9"/>
  <c r="C94" i="9"/>
  <c r="N88" i="9"/>
  <c r="Y89" i="9"/>
  <c r="Y81" i="9"/>
  <c r="Y73" i="9"/>
  <c r="B95" i="9"/>
  <c r="Y64" i="9"/>
  <c r="C87" i="9"/>
  <c r="D80" i="9"/>
  <c r="D69" i="9"/>
  <c r="V86" i="9"/>
  <c r="V69" i="9"/>
  <c r="V82" i="9"/>
  <c r="V93" i="9"/>
  <c r="U75" i="9"/>
  <c r="K57" i="9"/>
  <c r="K105" i="9" s="1"/>
  <c r="B72" i="9"/>
  <c r="B98" i="9"/>
  <c r="AA68" i="9"/>
  <c r="C86" i="9"/>
  <c r="AA89" i="9"/>
  <c r="AA78" i="9"/>
  <c r="Y97" i="9"/>
  <c r="Y85" i="9"/>
  <c r="Y78" i="9"/>
  <c r="Y70" i="9"/>
  <c r="B85" i="9"/>
  <c r="J66" i="9"/>
  <c r="D64" i="9"/>
  <c r="D86" i="9"/>
  <c r="D79" i="9"/>
  <c r="V83" i="9"/>
  <c r="V67" i="9"/>
  <c r="V80" i="9"/>
  <c r="V94" i="9"/>
  <c r="U77" i="9"/>
  <c r="H77" i="9"/>
  <c r="Y103" i="9"/>
  <c r="AD40" i="9"/>
  <c r="AD57" i="9" s="1"/>
  <c r="AD105" i="9" s="1"/>
  <c r="AA80" i="9"/>
  <c r="AA63" i="9"/>
  <c r="B101" i="9"/>
  <c r="C97" i="9"/>
  <c r="U68" i="9"/>
  <c r="H73" i="9"/>
  <c r="H68" i="9"/>
  <c r="AA71" i="9"/>
  <c r="AA93" i="9"/>
  <c r="Y101" i="9"/>
  <c r="Y87" i="9"/>
  <c r="Y80" i="9"/>
  <c r="Y72" i="9"/>
  <c r="D83" i="9"/>
  <c r="V66" i="9"/>
  <c r="V79" i="9"/>
  <c r="V76" i="9"/>
  <c r="U83" i="9"/>
  <c r="H70" i="9"/>
  <c r="H94" i="9"/>
  <c r="E57" i="9"/>
  <c r="E105" i="9"/>
  <c r="AC42" i="9"/>
  <c r="AC58" i="9" s="1"/>
  <c r="AC106" i="9" s="1"/>
  <c r="AC88" i="9"/>
  <c r="AC57" i="9"/>
  <c r="AC105" i="9" s="1"/>
  <c r="B64" i="9"/>
  <c r="B76" i="9"/>
  <c r="B103" i="9"/>
  <c r="B73" i="9"/>
  <c r="B93" i="9"/>
  <c r="B88" i="9"/>
  <c r="B80" i="9"/>
  <c r="B70" i="9"/>
  <c r="B78" i="9"/>
  <c r="B71" i="9"/>
  <c r="B97" i="9"/>
  <c r="B65" i="9"/>
  <c r="B68" i="9"/>
  <c r="B69" i="9"/>
  <c r="B96" i="9"/>
  <c r="B99" i="9" s="1"/>
  <c r="B74" i="9"/>
  <c r="B83" i="9"/>
  <c r="Z42" i="9"/>
  <c r="Z90" i="9" s="1"/>
  <c r="B81" i="9"/>
  <c r="J76" i="9"/>
  <c r="J85" i="9"/>
  <c r="B66" i="9"/>
  <c r="L69" i="9"/>
  <c r="L65" i="9"/>
  <c r="E73" i="9"/>
  <c r="C42" i="9"/>
  <c r="C90" i="9"/>
  <c r="U76" i="9"/>
  <c r="T80" i="9"/>
  <c r="T86" i="9"/>
  <c r="Z89" i="9"/>
  <c r="Z66" i="9"/>
  <c r="Z76" i="9"/>
  <c r="Z80" i="9"/>
  <c r="Z85" i="9"/>
  <c r="Z83" i="9"/>
  <c r="Z101" i="9"/>
  <c r="Z77" i="9"/>
  <c r="AF21" i="9"/>
  <c r="J101" i="9"/>
  <c r="J72" i="9"/>
  <c r="J96" i="9"/>
  <c r="J64" i="9"/>
  <c r="J69" i="9"/>
  <c r="J73" i="9"/>
  <c r="J70" i="9"/>
  <c r="J94" i="9"/>
  <c r="J77" i="9"/>
  <c r="J93" i="9"/>
  <c r="J68" i="9"/>
  <c r="J89" i="9"/>
  <c r="J87" i="9"/>
  <c r="J103" i="9"/>
  <c r="J83" i="9"/>
  <c r="U101" i="9"/>
  <c r="U82" i="9"/>
  <c r="U94" i="9"/>
  <c r="U74" i="9"/>
  <c r="U63" i="9"/>
  <c r="U98" i="9"/>
  <c r="U80" i="9"/>
  <c r="U89" i="9"/>
  <c r="U67" i="9"/>
  <c r="U93" i="9"/>
  <c r="U73" i="9"/>
  <c r="U81" i="9"/>
  <c r="U64" i="9"/>
  <c r="U72" i="9"/>
  <c r="U87" i="9"/>
  <c r="U103" i="9"/>
  <c r="U78" i="9"/>
  <c r="Q83" i="9"/>
  <c r="Q40" i="9"/>
  <c r="Q88" i="9"/>
  <c r="B75" i="9"/>
  <c r="J98" i="9"/>
  <c r="B82" i="9"/>
  <c r="J97" i="9"/>
  <c r="E82" i="9"/>
  <c r="E89" i="9"/>
  <c r="U79" i="9"/>
  <c r="E63" i="9"/>
  <c r="K101" i="9"/>
  <c r="K73" i="9"/>
  <c r="K78" i="9"/>
  <c r="P69" i="9"/>
  <c r="P93" i="9"/>
  <c r="P85" i="9"/>
  <c r="P74" i="9"/>
  <c r="P101" i="9"/>
  <c r="Y40" i="9"/>
  <c r="Y83" i="9"/>
  <c r="S42" i="9"/>
  <c r="S90" i="9" s="1"/>
  <c r="S57" i="9"/>
  <c r="S105" i="9" s="1"/>
  <c r="U69" i="9"/>
  <c r="AC83" i="9"/>
  <c r="E75" i="9"/>
  <c r="E87" i="9"/>
  <c r="E79" i="9"/>
  <c r="E80" i="9"/>
  <c r="E74" i="9"/>
  <c r="E85" i="9"/>
  <c r="E69" i="9"/>
  <c r="E78" i="9"/>
  <c r="E67" i="9"/>
  <c r="E83" i="9"/>
  <c r="E97" i="9"/>
  <c r="E71" i="9"/>
  <c r="E64" i="9"/>
  <c r="E101" i="9"/>
  <c r="E77" i="9"/>
  <c r="E95" i="9"/>
  <c r="J81" i="9"/>
  <c r="J63" i="9"/>
  <c r="B86" i="9"/>
  <c r="J71" i="9"/>
  <c r="J67" i="9"/>
  <c r="L89" i="9"/>
  <c r="E94" i="9"/>
  <c r="E98" i="9"/>
  <c r="U96" i="9"/>
  <c r="U70" i="9"/>
  <c r="F75" i="9"/>
  <c r="F67" i="9"/>
  <c r="F65" i="9"/>
  <c r="F72" i="9"/>
  <c r="F94" i="9"/>
  <c r="F99" i="9" s="1"/>
  <c r="F82" i="9"/>
  <c r="F101" i="9"/>
  <c r="F81" i="9"/>
  <c r="F63" i="9"/>
  <c r="W97" i="9"/>
  <c r="W93" i="9"/>
  <c r="W78" i="9"/>
  <c r="W63" i="9"/>
  <c r="W71" i="9"/>
  <c r="W82" i="9"/>
  <c r="W65" i="9"/>
  <c r="W69" i="9"/>
  <c r="AC95" i="9"/>
  <c r="AC74" i="9"/>
  <c r="AC86" i="9"/>
  <c r="AC66" i="9"/>
  <c r="AC94" i="9"/>
  <c r="AC70" i="9"/>
  <c r="AC82" i="9"/>
  <c r="AC93" i="9"/>
  <c r="AC99" i="9" s="1"/>
  <c r="AC75" i="9"/>
  <c r="AC80" i="9"/>
  <c r="AC78" i="9"/>
  <c r="AC85" i="9"/>
  <c r="AC67" i="9"/>
  <c r="AC72" i="9"/>
  <c r="AC63" i="9"/>
  <c r="AF35" i="9"/>
  <c r="U95" i="9"/>
  <c r="I58" i="9"/>
  <c r="I106" i="9" s="1"/>
  <c r="I90" i="9"/>
  <c r="L68" i="9"/>
  <c r="L83" i="9"/>
  <c r="L96" i="9"/>
  <c r="L63" i="9"/>
  <c r="L74" i="9"/>
  <c r="J80" i="9"/>
  <c r="J65" i="9"/>
  <c r="B89" i="9"/>
  <c r="J95" i="9"/>
  <c r="B87" i="9"/>
  <c r="J75" i="9"/>
  <c r="L88" i="9"/>
  <c r="E96" i="9"/>
  <c r="E103" i="9"/>
  <c r="U65" i="9"/>
  <c r="U97" i="9"/>
  <c r="U99" i="9" s="1"/>
  <c r="U71" i="9"/>
  <c r="G65" i="9"/>
  <c r="G101" i="9"/>
  <c r="G93" i="9"/>
  <c r="G86" i="9"/>
  <c r="G79" i="9"/>
  <c r="G87" i="9"/>
  <c r="G83" i="9"/>
  <c r="G76" i="9"/>
  <c r="I88" i="9"/>
  <c r="J78" i="10"/>
  <c r="G75" i="10"/>
  <c r="J72" i="10"/>
  <c r="R80" i="10"/>
  <c r="J74" i="10"/>
  <c r="J66" i="10"/>
  <c r="W97" i="10"/>
  <c r="J82" i="10"/>
  <c r="B70" i="10"/>
  <c r="J63" i="10"/>
  <c r="O82" i="10"/>
  <c r="J79" i="10"/>
  <c r="W89" i="10"/>
  <c r="V96" i="10"/>
  <c r="V71" i="10"/>
  <c r="H78" i="10"/>
  <c r="I97" i="10"/>
  <c r="V87" i="10"/>
  <c r="V103" i="10"/>
  <c r="AA69" i="10"/>
  <c r="V85" i="10"/>
  <c r="W73" i="10"/>
  <c r="W103" i="10"/>
  <c r="O83" i="10"/>
  <c r="V75" i="10"/>
  <c r="V70" i="10"/>
  <c r="V82" i="10"/>
  <c r="V98" i="10"/>
  <c r="AB98" i="10"/>
  <c r="O81" i="10"/>
  <c r="V93" i="10"/>
  <c r="O96" i="10"/>
  <c r="AD78" i="10"/>
  <c r="V97" i="10"/>
  <c r="V66" i="10"/>
  <c r="V63" i="10"/>
  <c r="E75" i="10"/>
  <c r="AB101" i="10"/>
  <c r="O66" i="10"/>
  <c r="AA86" i="10"/>
  <c r="AC63" i="10"/>
  <c r="L87" i="10"/>
  <c r="W79" i="10"/>
  <c r="D74" i="10"/>
  <c r="L72" i="10"/>
  <c r="P73" i="10"/>
  <c r="W66" i="10"/>
  <c r="M86" i="10"/>
  <c r="AA79" i="10"/>
  <c r="E82" i="10"/>
  <c r="AB69" i="10"/>
  <c r="T98" i="10"/>
  <c r="G90" i="10"/>
  <c r="J67" i="10"/>
  <c r="AC68" i="10"/>
  <c r="AB71" i="10"/>
  <c r="E79" i="10"/>
  <c r="J71" i="10"/>
  <c r="V78" i="10"/>
  <c r="V94" i="10"/>
  <c r="V81" i="10"/>
  <c r="AA101" i="10"/>
  <c r="V64" i="10"/>
  <c r="AC69" i="10"/>
  <c r="AC89" i="10"/>
  <c r="V86" i="10"/>
  <c r="AB73" i="10"/>
  <c r="J97" i="10"/>
  <c r="R57" i="10"/>
  <c r="R105" i="10"/>
  <c r="E103" i="10"/>
  <c r="J96" i="10"/>
  <c r="J76" i="10"/>
  <c r="V76" i="10"/>
  <c r="V80" i="10"/>
  <c r="V77" i="10"/>
  <c r="AA96" i="10"/>
  <c r="AA73" i="10"/>
  <c r="AC97" i="10"/>
  <c r="M64" i="10"/>
  <c r="V74" i="10"/>
  <c r="AB86" i="10"/>
  <c r="X77" i="10"/>
  <c r="K83" i="10"/>
  <c r="AB79" i="10"/>
  <c r="X66" i="10"/>
  <c r="J94" i="10"/>
  <c r="J65" i="10"/>
  <c r="V79" i="10"/>
  <c r="V72" i="10"/>
  <c r="AA94" i="10"/>
  <c r="M83" i="10"/>
  <c r="AB95" i="10"/>
  <c r="G89" i="10"/>
  <c r="N82" i="10"/>
  <c r="N93" i="10"/>
  <c r="N74" i="10"/>
  <c r="N63" i="10"/>
  <c r="N71" i="10"/>
  <c r="N94" i="10"/>
  <c r="N72" i="10"/>
  <c r="G78" i="10"/>
  <c r="G87" i="10"/>
  <c r="G86" i="10"/>
  <c r="G64" i="10"/>
  <c r="G68" i="10"/>
  <c r="G101" i="10"/>
  <c r="G79" i="10"/>
  <c r="G73" i="10"/>
  <c r="G94" i="10"/>
  <c r="G76" i="10"/>
  <c r="G96" i="10"/>
  <c r="G95" i="10"/>
  <c r="G103" i="10"/>
  <c r="G66" i="10"/>
  <c r="G63" i="10"/>
  <c r="G72" i="10"/>
  <c r="G98" i="10"/>
  <c r="G83" i="10"/>
  <c r="G81" i="10"/>
  <c r="G67" i="10"/>
  <c r="G93" i="10"/>
  <c r="G69" i="10"/>
  <c r="G74" i="10"/>
  <c r="G80" i="10"/>
  <c r="G65" i="10"/>
  <c r="G70" i="10"/>
  <c r="G77" i="10"/>
  <c r="G82" i="10"/>
  <c r="G71" i="10"/>
  <c r="G85" i="10"/>
  <c r="N87" i="10"/>
  <c r="Y98" i="10"/>
  <c r="D42" i="10"/>
  <c r="S103" i="10"/>
  <c r="S70" i="10"/>
  <c r="S74" i="10"/>
  <c r="S81" i="10"/>
  <c r="S87" i="10"/>
  <c r="S97" i="10"/>
  <c r="S82" i="10"/>
  <c r="S63" i="10"/>
  <c r="S75" i="10"/>
  <c r="S71" i="10"/>
  <c r="S89" i="10"/>
  <c r="S86" i="10"/>
  <c r="S67" i="10"/>
  <c r="S76" i="10"/>
  <c r="S98" i="10"/>
  <c r="S85" i="10"/>
  <c r="S94" i="10"/>
  <c r="S101" i="10"/>
  <c r="S68" i="10"/>
  <c r="S73" i="10"/>
  <c r="S66" i="10"/>
  <c r="S95" i="10"/>
  <c r="T57" i="10"/>
  <c r="T105" i="10"/>
  <c r="B88" i="10"/>
  <c r="B78" i="10"/>
  <c r="H96" i="10"/>
  <c r="I72" i="10"/>
  <c r="Z95" i="10"/>
  <c r="AA76" i="10"/>
  <c r="C73" i="10"/>
  <c r="AA67" i="10"/>
  <c r="AA64" i="10"/>
  <c r="O68" i="10"/>
  <c r="W83" i="10"/>
  <c r="J75" i="10"/>
  <c r="J68" i="10"/>
  <c r="H98" i="10"/>
  <c r="D79" i="10"/>
  <c r="I68" i="10"/>
  <c r="J95" i="10"/>
  <c r="J77" i="10"/>
  <c r="AA93" i="10"/>
  <c r="AA82" i="10"/>
  <c r="AA72" i="10"/>
  <c r="K64" i="10"/>
  <c r="AB74" i="10"/>
  <c r="AB103" i="10"/>
  <c r="O85" i="10"/>
  <c r="P72" i="10"/>
  <c r="W78" i="10"/>
  <c r="W96" i="10"/>
  <c r="O71" i="10"/>
  <c r="W65" i="10"/>
  <c r="K85" i="10"/>
  <c r="AC40" i="10"/>
  <c r="I67" i="10"/>
  <c r="AA75" i="10"/>
  <c r="C64" i="10"/>
  <c r="P89" i="10"/>
  <c r="J86" i="10"/>
  <c r="J69" i="10"/>
  <c r="J98" i="10"/>
  <c r="H63" i="10"/>
  <c r="I87" i="10"/>
  <c r="J87" i="10"/>
  <c r="AA97" i="10"/>
  <c r="AA87" i="10"/>
  <c r="C82" i="10"/>
  <c r="AA70" i="10"/>
  <c r="J64" i="10"/>
  <c r="F101" i="10"/>
  <c r="AB82" i="10"/>
  <c r="T76" i="10"/>
  <c r="O93" i="10"/>
  <c r="W81" i="10"/>
  <c r="P74" i="10"/>
  <c r="B89" i="10"/>
  <c r="T68" i="10"/>
  <c r="J101" i="10"/>
  <c r="J81" i="10"/>
  <c r="J85" i="10"/>
  <c r="D65" i="10"/>
  <c r="K103" i="10"/>
  <c r="O98" i="10"/>
  <c r="Q103" i="10"/>
  <c r="AD66" i="10"/>
  <c r="AB85" i="10"/>
  <c r="T85" i="10"/>
  <c r="P86" i="10"/>
  <c r="W101" i="10"/>
  <c r="S42" i="10"/>
  <c r="S90" i="10" s="1"/>
  <c r="F74" i="10"/>
  <c r="T86" i="10"/>
  <c r="X70" i="10"/>
  <c r="X97" i="10"/>
  <c r="K69" i="10"/>
  <c r="F69" i="10"/>
  <c r="T78" i="10"/>
  <c r="O64" i="10"/>
  <c r="O78" i="10"/>
  <c r="W95" i="10"/>
  <c r="P75" i="10"/>
  <c r="F67" i="10"/>
  <c r="O88" i="10"/>
  <c r="T97" i="10"/>
  <c r="K71" i="10"/>
  <c r="K82" i="10"/>
  <c r="AD93" i="10"/>
  <c r="AD99" i="10" s="1"/>
  <c r="I101" i="10"/>
  <c r="I80" i="10"/>
  <c r="X65" i="10"/>
  <c r="K89" i="10"/>
  <c r="AD97" i="10"/>
  <c r="F80" i="10"/>
  <c r="R42" i="10"/>
  <c r="R58" i="10"/>
  <c r="R106" i="10" s="1"/>
  <c r="AB76" i="10"/>
  <c r="AB87" i="10"/>
  <c r="AB65" i="10"/>
  <c r="T71" i="10"/>
  <c r="T79" i="10"/>
  <c r="T89" i="10"/>
  <c r="T63" i="10"/>
  <c r="L81" i="10"/>
  <c r="X82" i="10"/>
  <c r="W93" i="10"/>
  <c r="W99" i="10" s="1"/>
  <c r="X69" i="10"/>
  <c r="O77" i="10"/>
  <c r="X83" i="10"/>
  <c r="X89" i="10"/>
  <c r="W75" i="10"/>
  <c r="AD77" i="10"/>
  <c r="T69" i="10"/>
  <c r="T101" i="10"/>
  <c r="X95" i="10"/>
  <c r="AD73" i="10"/>
  <c r="K78" i="10"/>
  <c r="AD81" i="10"/>
  <c r="T70" i="10"/>
  <c r="T103" i="10"/>
  <c r="X79" i="10"/>
  <c r="P93" i="10"/>
  <c r="F63" i="10"/>
  <c r="D93" i="10"/>
  <c r="K93" i="10"/>
  <c r="K73" i="10"/>
  <c r="AD96" i="10"/>
  <c r="I78" i="10"/>
  <c r="I64" i="10"/>
  <c r="K68" i="10"/>
  <c r="AD95" i="10"/>
  <c r="F81" i="10"/>
  <c r="AB64" i="10"/>
  <c r="AB77" i="10"/>
  <c r="AB89" i="10"/>
  <c r="AB66" i="10"/>
  <c r="T72" i="10"/>
  <c r="T80" i="10"/>
  <c r="T93" i="10"/>
  <c r="T64" i="10"/>
  <c r="L95" i="10"/>
  <c r="X78" i="10"/>
  <c r="X98" i="10"/>
  <c r="W77" i="10"/>
  <c r="W63" i="10"/>
  <c r="X86" i="10"/>
  <c r="P68" i="10"/>
  <c r="W87" i="10"/>
  <c r="X75" i="10"/>
  <c r="X96" i="10"/>
  <c r="X85" i="10"/>
  <c r="X71" i="10"/>
  <c r="O74" i="10"/>
  <c r="W98" i="10"/>
  <c r="X80" i="10"/>
  <c r="F77" i="10"/>
  <c r="T77" i="10"/>
  <c r="X87" i="10"/>
  <c r="X73" i="10"/>
  <c r="F71" i="10"/>
  <c r="K80" i="10"/>
  <c r="AD85" i="10"/>
  <c r="T87" i="10"/>
  <c r="O94" i="10"/>
  <c r="P81" i="10"/>
  <c r="P71" i="10"/>
  <c r="F75" i="10"/>
  <c r="AD71" i="10"/>
  <c r="D72" i="10"/>
  <c r="K95" i="10"/>
  <c r="K77" i="10"/>
  <c r="AD64" i="10"/>
  <c r="I98" i="10"/>
  <c r="I77" i="10"/>
  <c r="X64" i="10"/>
  <c r="I63" i="10"/>
  <c r="K96" i="10"/>
  <c r="K72" i="10"/>
  <c r="K66" i="10"/>
  <c r="T88" i="10"/>
  <c r="F89" i="10"/>
  <c r="AB68" i="10"/>
  <c r="AB78" i="10"/>
  <c r="AB94" i="10"/>
  <c r="T65" i="10"/>
  <c r="T73" i="10"/>
  <c r="T81" i="10"/>
  <c r="T94" i="10"/>
  <c r="P77" i="10"/>
  <c r="P97" i="10"/>
  <c r="P85" i="10"/>
  <c r="O65" i="10"/>
  <c r="O86" i="10"/>
  <c r="W74" i="10"/>
  <c r="P70" i="10"/>
  <c r="W85" i="10"/>
  <c r="O95" i="10"/>
  <c r="P79" i="10"/>
  <c r="P96" i="10"/>
  <c r="O70" i="10"/>
  <c r="W72" i="10"/>
  <c r="H57" i="10"/>
  <c r="AD75" i="10"/>
  <c r="F68" i="10"/>
  <c r="AD101" i="10"/>
  <c r="K97" i="10"/>
  <c r="K63" i="10"/>
  <c r="U95" i="10"/>
  <c r="AD87" i="10"/>
  <c r="K81" i="10"/>
  <c r="F79" i="10"/>
  <c r="F96" i="10"/>
  <c r="T66" i="10"/>
  <c r="T74" i="10"/>
  <c r="T82" i="10"/>
  <c r="T95" i="10"/>
  <c r="X94" i="10"/>
  <c r="O103" i="10"/>
  <c r="X81" i="10"/>
  <c r="X67" i="10"/>
  <c r="X76" i="10"/>
  <c r="X93" i="10"/>
  <c r="X99" i="10" s="1"/>
  <c r="O97" i="10"/>
  <c r="AB90" i="10"/>
  <c r="F70" i="10"/>
  <c r="F64" i="10"/>
  <c r="AD74" i="10"/>
  <c r="K101" i="10"/>
  <c r="X63" i="10"/>
  <c r="F85" i="10"/>
  <c r="F83" i="10"/>
  <c r="AB70" i="10"/>
  <c r="AB81" i="10"/>
  <c r="T67" i="10"/>
  <c r="T75" i="10"/>
  <c r="T83" i="10"/>
  <c r="W94" i="10"/>
  <c r="X74" i="10"/>
  <c r="W86" i="10"/>
  <c r="O72" i="10"/>
  <c r="X101" i="10"/>
  <c r="W82" i="10"/>
  <c r="W70" i="10"/>
  <c r="O101" i="10"/>
  <c r="O79" i="10"/>
  <c r="X103" i="10"/>
  <c r="X68" i="10"/>
  <c r="O87" i="10"/>
  <c r="P103" i="10"/>
  <c r="S83" i="10"/>
  <c r="G88" i="10"/>
  <c r="AF20" i="10"/>
  <c r="U63" i="10"/>
  <c r="Y82" i="10"/>
  <c r="Y75" i="10"/>
  <c r="Y74" i="10"/>
  <c r="Y70" i="10"/>
  <c r="B63" i="10"/>
  <c r="M93" i="10"/>
  <c r="H95" i="10"/>
  <c r="H77" i="10"/>
  <c r="R86" i="10"/>
  <c r="B90" i="10"/>
  <c r="Q89" i="10"/>
  <c r="Y71" i="10"/>
  <c r="Y87" i="10"/>
  <c r="Y89" i="10"/>
  <c r="B93" i="10"/>
  <c r="C94" i="10"/>
  <c r="U82" i="10"/>
  <c r="U86" i="10"/>
  <c r="U89" i="10"/>
  <c r="U87" i="10"/>
  <c r="U42" i="10"/>
  <c r="U58" i="10"/>
  <c r="U106" i="10" s="1"/>
  <c r="U97" i="10"/>
  <c r="U96" i="10"/>
  <c r="B64" i="10"/>
  <c r="B68" i="10"/>
  <c r="B75" i="10"/>
  <c r="B79" i="10"/>
  <c r="B96" i="10"/>
  <c r="B65" i="10"/>
  <c r="B73" i="10"/>
  <c r="B97" i="10"/>
  <c r="B86" i="10"/>
  <c r="B67" i="10"/>
  <c r="B71" i="10"/>
  <c r="B76" i="10"/>
  <c r="B81" i="10"/>
  <c r="B94" i="10"/>
  <c r="B98" i="10"/>
  <c r="B72" i="10"/>
  <c r="B77" i="10"/>
  <c r="B87" i="10"/>
  <c r="B66" i="10"/>
  <c r="B85" i="10"/>
  <c r="Q67" i="10"/>
  <c r="Q70" i="10"/>
  <c r="Q75" i="10"/>
  <c r="Q79" i="10"/>
  <c r="M69" i="10"/>
  <c r="M66" i="10"/>
  <c r="M70" i="10"/>
  <c r="U73" i="10"/>
  <c r="Y67" i="10"/>
  <c r="Q42" i="10"/>
  <c r="Q90" i="10"/>
  <c r="B103" i="10"/>
  <c r="B82" i="10"/>
  <c r="B74" i="10"/>
  <c r="Y40" i="10"/>
  <c r="Y42" i="10"/>
  <c r="U101" i="10"/>
  <c r="M85" i="10"/>
  <c r="M103" i="10"/>
  <c r="M71" i="10"/>
  <c r="M68" i="10"/>
  <c r="M82" i="10"/>
  <c r="M98" i="10"/>
  <c r="M87" i="10"/>
  <c r="Z101" i="10"/>
  <c r="Z83" i="10"/>
  <c r="Z87" i="10"/>
  <c r="Z65" i="10"/>
  <c r="Z98" i="10"/>
  <c r="M80" i="10"/>
  <c r="M67" i="10"/>
  <c r="B69" i="10"/>
  <c r="C66" i="10"/>
  <c r="C67" i="10"/>
  <c r="C74" i="10"/>
  <c r="C81" i="10"/>
  <c r="C87" i="10"/>
  <c r="C98" i="10"/>
  <c r="C103" i="10"/>
  <c r="C68" i="10"/>
  <c r="C77" i="10"/>
  <c r="C89" i="10"/>
  <c r="C71" i="10"/>
  <c r="C85" i="10"/>
  <c r="C95" i="10"/>
  <c r="C63" i="10"/>
  <c r="C72" i="10"/>
  <c r="C75" i="10"/>
  <c r="C78" i="10"/>
  <c r="C86" i="10"/>
  <c r="C96" i="10"/>
  <c r="C101" i="10"/>
  <c r="C69" i="10"/>
  <c r="C93" i="10"/>
  <c r="C88" i="10"/>
  <c r="Q78" i="10"/>
  <c r="U79" i="10"/>
  <c r="B95" i="10"/>
  <c r="C76" i="10"/>
  <c r="N40" i="10"/>
  <c r="M65" i="10"/>
  <c r="U69" i="10"/>
  <c r="Y72" i="10"/>
  <c r="B101" i="10"/>
  <c r="B80" i="10"/>
  <c r="C97" i="10"/>
  <c r="C83" i="10"/>
  <c r="Z66" i="10"/>
  <c r="M75" i="10"/>
  <c r="AD98" i="10"/>
  <c r="AD72" i="10"/>
  <c r="AD82" i="10"/>
  <c r="AD94" i="10"/>
  <c r="AD76" i="10"/>
  <c r="AD103" i="10"/>
  <c r="AD89" i="10"/>
  <c r="AD70" i="10"/>
  <c r="AD68" i="10"/>
  <c r="AD83" i="10"/>
  <c r="AD88" i="10"/>
  <c r="AD86" i="10"/>
  <c r="AD80" i="10"/>
  <c r="AD63" i="10"/>
  <c r="AD65" i="10"/>
  <c r="AD79" i="10"/>
  <c r="AD67" i="10"/>
  <c r="I83" i="10"/>
  <c r="I40" i="10"/>
  <c r="I88" i="10" s="1"/>
  <c r="I103" i="10"/>
  <c r="I74" i="10"/>
  <c r="I79" i="10"/>
  <c r="I86" i="10"/>
  <c r="I65" i="10"/>
  <c r="I71" i="10"/>
  <c r="I76" i="10"/>
  <c r="I81" i="10"/>
  <c r="I89" i="10"/>
  <c r="I96" i="10"/>
  <c r="AA63" i="10"/>
  <c r="AA71" i="10"/>
  <c r="AA83" i="10"/>
  <c r="AA95" i="10"/>
  <c r="AA66" i="10"/>
  <c r="AA74" i="10"/>
  <c r="AA81" i="10"/>
  <c r="AA85" i="10"/>
  <c r="AA98" i="10"/>
  <c r="AA99" i="10" s="1"/>
  <c r="B57" i="10"/>
  <c r="F94" i="10"/>
  <c r="F65" i="10"/>
  <c r="I95" i="10"/>
  <c r="I85" i="10"/>
  <c r="I70" i="10"/>
  <c r="AA89" i="10"/>
  <c r="AA68" i="10"/>
  <c r="F87" i="10"/>
  <c r="J93" i="10"/>
  <c r="J99" i="10" s="1"/>
  <c r="J80" i="10"/>
  <c r="W68" i="10"/>
  <c r="W71" i="10"/>
  <c r="W67" i="10"/>
  <c r="W76" i="10"/>
  <c r="W69" i="10"/>
  <c r="AB96" i="10"/>
  <c r="AB83" i="10"/>
  <c r="AB75" i="10"/>
  <c r="AB67" i="10"/>
  <c r="AB63" i="10"/>
  <c r="AB93" i="10"/>
  <c r="AB80" i="10"/>
  <c r="AB72" i="10"/>
  <c r="D57" i="10"/>
  <c r="D105" i="10"/>
  <c r="I94" i="10"/>
  <c r="AA80" i="10"/>
  <c r="AA77" i="10"/>
  <c r="AA65" i="10"/>
  <c r="F82" i="10"/>
  <c r="F103" i="10"/>
  <c r="F78" i="10"/>
  <c r="F93" i="10"/>
  <c r="F99" i="10" s="1"/>
  <c r="F76" i="10"/>
  <c r="S69" i="10"/>
  <c r="S78" i="10"/>
  <c r="S93" i="10"/>
  <c r="S64" i="10"/>
  <c r="S72" i="10"/>
  <c r="S79" i="10"/>
  <c r="S96" i="10"/>
  <c r="F98" i="10"/>
  <c r="F73" i="10"/>
  <c r="F66" i="10"/>
  <c r="I82" i="10"/>
  <c r="I75" i="10"/>
  <c r="I69" i="10"/>
  <c r="I66" i="10"/>
  <c r="S80" i="10"/>
  <c r="S77" i="10"/>
  <c r="S65" i="10"/>
  <c r="F95" i="10"/>
  <c r="F97" i="10"/>
  <c r="K76" i="10"/>
  <c r="K65" i="10"/>
  <c r="K75" i="10"/>
  <c r="K87" i="10"/>
  <c r="K70" i="10"/>
  <c r="K94" i="10"/>
  <c r="O69" i="10"/>
  <c r="O76" i="10"/>
  <c r="O89" i="10"/>
  <c r="O63" i="10"/>
  <c r="O73" i="10"/>
  <c r="O80" i="10"/>
  <c r="O75" i="10"/>
  <c r="B58" i="10"/>
  <c r="E58" i="12"/>
  <c r="E106" i="12"/>
  <c r="E90" i="12"/>
  <c r="AA88" i="12"/>
  <c r="AA57" i="12"/>
  <c r="AA105" i="12" s="1"/>
  <c r="AA42" i="12"/>
  <c r="AA58" i="12" s="1"/>
  <c r="AA106" i="12" s="1"/>
  <c r="O90" i="12"/>
  <c r="U57" i="12"/>
  <c r="U105" i="12" s="1"/>
  <c r="AF90" i="12"/>
  <c r="AF58" i="12"/>
  <c r="AF106" i="12" s="1"/>
  <c r="V58" i="12"/>
  <c r="V106" i="12" s="1"/>
  <c r="AB90" i="7"/>
  <c r="AB58" i="7"/>
  <c r="AB106" i="7" s="1"/>
  <c r="V57" i="7"/>
  <c r="V105" i="7"/>
  <c r="M106" i="7"/>
  <c r="T105" i="9"/>
  <c r="T58" i="9"/>
  <c r="T106" i="9" s="1"/>
  <c r="B90" i="9"/>
  <c r="R99" i="9"/>
  <c r="Q99" i="9"/>
  <c r="H58" i="9"/>
  <c r="H106" i="9"/>
  <c r="N99" i="9"/>
  <c r="AB58" i="9"/>
  <c r="AD88" i="9"/>
  <c r="C58" i="9"/>
  <c r="C106" i="9"/>
  <c r="Z58" i="9"/>
  <c r="Z106" i="9" s="1"/>
  <c r="Y42" i="9"/>
  <c r="Y90" i="9" s="1"/>
  <c r="Y57" i="9"/>
  <c r="Y105" i="9"/>
  <c r="Y88" i="9"/>
  <c r="AC90" i="9"/>
  <c r="E99" i="9"/>
  <c r="Q42" i="9"/>
  <c r="Q57" i="9"/>
  <c r="Q105" i="9"/>
  <c r="S58" i="10"/>
  <c r="S106" i="10"/>
  <c r="U90" i="10"/>
  <c r="I57" i="10"/>
  <c r="I105" i="10" s="1"/>
  <c r="I42" i="10"/>
  <c r="I90" i="10" s="1"/>
  <c r="Y90" i="10"/>
  <c r="I99" i="10"/>
  <c r="Y103" i="10"/>
  <c r="Y66" i="10"/>
  <c r="Y77" i="10"/>
  <c r="Y83" i="10"/>
  <c r="Y85" i="10"/>
  <c r="Y73" i="10"/>
  <c r="Y81" i="10"/>
  <c r="Y76" i="10"/>
  <c r="Y95" i="10"/>
  <c r="Y93" i="10"/>
  <c r="Y99" i="10" s="1"/>
  <c r="Y96" i="10"/>
  <c r="Y68" i="10"/>
  <c r="Y86" i="10"/>
  <c r="Y94" i="10"/>
  <c r="Y80" i="10"/>
  <c r="Y97" i="10"/>
  <c r="R68" i="10"/>
  <c r="N81" i="10"/>
  <c r="N78" i="10"/>
  <c r="N65" i="10"/>
  <c r="AC67" i="10"/>
  <c r="AC85" i="10"/>
  <c r="U103" i="10"/>
  <c r="U70" i="10"/>
  <c r="U85" i="10"/>
  <c r="U67" i="10"/>
  <c r="U93" i="10"/>
  <c r="U81" i="10"/>
  <c r="U83" i="10"/>
  <c r="U77" i="10"/>
  <c r="U94" i="10"/>
  <c r="U76" i="10"/>
  <c r="U78" i="10"/>
  <c r="U72" i="10"/>
  <c r="F88" i="10"/>
  <c r="F42" i="10"/>
  <c r="F58" i="10" s="1"/>
  <c r="F106" i="10" s="1"/>
  <c r="AD58" i="10"/>
  <c r="AD106" i="10"/>
  <c r="L98" i="10"/>
  <c r="L78" i="10"/>
  <c r="L101" i="10"/>
  <c r="L80" i="10"/>
  <c r="L94" i="10"/>
  <c r="L65" i="10"/>
  <c r="L75" i="10"/>
  <c r="L103" i="10"/>
  <c r="L89" i="10"/>
  <c r="L64" i="10"/>
  <c r="L83" i="10"/>
  <c r="L96" i="10"/>
  <c r="L99" i="10" s="1"/>
  <c r="L70" i="10"/>
  <c r="L93" i="10"/>
  <c r="Q51" i="10"/>
  <c r="AF51" i="10" s="1"/>
  <c r="AF50" i="10"/>
  <c r="L86" i="10"/>
  <c r="L73" i="10"/>
  <c r="C90" i="10"/>
  <c r="R79" i="10"/>
  <c r="L97" i="10"/>
  <c r="L85" i="10"/>
  <c r="H71" i="10"/>
  <c r="H82" i="10"/>
  <c r="H87" i="10"/>
  <c r="H74" i="10"/>
  <c r="H101" i="10"/>
  <c r="H75" i="10"/>
  <c r="H86" i="10"/>
  <c r="H68" i="10"/>
  <c r="H93" i="10"/>
  <c r="H67" i="10"/>
  <c r="H69" i="10"/>
  <c r="H76" i="10"/>
  <c r="H65" i="10"/>
  <c r="H72" i="10"/>
  <c r="H70" i="10"/>
  <c r="H85" i="10"/>
  <c r="H94" i="10"/>
  <c r="H80" i="10"/>
  <c r="E42" i="10"/>
  <c r="C57" i="10"/>
  <c r="C105" i="10"/>
  <c r="H64" i="10"/>
  <c r="L71" i="10"/>
  <c r="R82" i="10"/>
  <c r="D63" i="10"/>
  <c r="D101" i="10"/>
  <c r="D89" i="10"/>
  <c r="D69" i="10"/>
  <c r="D94" i="10"/>
  <c r="D81" i="10"/>
  <c r="D98" i="10"/>
  <c r="D80" i="10"/>
  <c r="D95" i="10"/>
  <c r="D83" i="10"/>
  <c r="D97" i="10"/>
  <c r="D67" i="10"/>
  <c r="D103" i="10"/>
  <c r="D75" i="10"/>
  <c r="D71" i="10"/>
  <c r="D82" i="10"/>
  <c r="D76" i="10"/>
  <c r="D68" i="10"/>
  <c r="D66" i="10"/>
  <c r="D77" i="10"/>
  <c r="D96" i="10"/>
  <c r="Q58" i="10"/>
  <c r="Q106" i="10" s="1"/>
  <c r="R75" i="10"/>
  <c r="H83" i="10"/>
  <c r="D70" i="10"/>
  <c r="Y57" i="10"/>
  <c r="Y105" i="10"/>
  <c r="S99" i="10"/>
  <c r="H97" i="10"/>
  <c r="H79" i="10"/>
  <c r="U64" i="10"/>
  <c r="G58" i="10"/>
  <c r="G106" i="10"/>
  <c r="H73" i="10"/>
  <c r="Y79" i="10"/>
  <c r="D87" i="10"/>
  <c r="L66" i="10"/>
  <c r="D85" i="10"/>
  <c r="O99" i="10"/>
  <c r="D88" i="10"/>
  <c r="N96" i="10"/>
  <c r="D86" i="10"/>
  <c r="L63" i="10"/>
  <c r="F57" i="10"/>
  <c r="F105" i="10" s="1"/>
  <c r="P67" i="10"/>
  <c r="P94" i="10"/>
  <c r="P65" i="10"/>
  <c r="P66" i="10"/>
  <c r="P98" i="10"/>
  <c r="P63" i="10"/>
  <c r="P76" i="10"/>
  <c r="P87" i="10"/>
  <c r="P95" i="10"/>
  <c r="P82" i="10"/>
  <c r="P78" i="10"/>
  <c r="P64" i="10"/>
  <c r="P69" i="10"/>
  <c r="P101" i="10"/>
  <c r="P80" i="10"/>
  <c r="N68" i="10"/>
  <c r="N66" i="10"/>
  <c r="N75" i="10"/>
  <c r="N73" i="10"/>
  <c r="N101" i="10"/>
  <c r="N76" i="10"/>
  <c r="N85" i="10"/>
  <c r="N79" i="10"/>
  <c r="N77" i="10"/>
  <c r="N86" i="10"/>
  <c r="N95" i="10"/>
  <c r="N99" i="10" s="1"/>
  <c r="N80" i="10"/>
  <c r="N67" i="10"/>
  <c r="N83" i="10"/>
  <c r="N70" i="10"/>
  <c r="N64" i="10"/>
  <c r="N89" i="10"/>
  <c r="N103" i="10"/>
  <c r="Y88" i="10"/>
  <c r="B106" i="10"/>
  <c r="U66" i="10"/>
  <c r="U75" i="10"/>
  <c r="H81" i="10"/>
  <c r="Y69" i="10"/>
  <c r="L67" i="10"/>
  <c r="E57" i="10"/>
  <c r="N98" i="10"/>
  <c r="AC101" i="10"/>
  <c r="AC70" i="10"/>
  <c r="AC93" i="10"/>
  <c r="L79" i="10"/>
  <c r="AF35" i="10"/>
  <c r="H42" i="10"/>
  <c r="H88" i="10"/>
  <c r="U105" i="10"/>
  <c r="R97" i="10"/>
  <c r="R98" i="10"/>
  <c r="R103" i="10"/>
  <c r="R74" i="10"/>
  <c r="R88" i="10"/>
  <c r="R78" i="10"/>
  <c r="R101" i="10"/>
  <c r="R81" i="10"/>
  <c r="R72" i="10"/>
  <c r="R67" i="10"/>
  <c r="R69" i="10"/>
  <c r="R76" i="10"/>
  <c r="R65" i="10"/>
  <c r="R77" i="10"/>
  <c r="R73" i="10"/>
  <c r="R85" i="10"/>
  <c r="R63" i="10"/>
  <c r="R94" i="10"/>
  <c r="R99" i="10" s="1"/>
  <c r="R71" i="10"/>
  <c r="R66" i="10"/>
  <c r="L90" i="10"/>
  <c r="R64" i="10"/>
  <c r="L82" i="10"/>
  <c r="AA88" i="10"/>
  <c r="AA42" i="10"/>
  <c r="AA58" i="10" s="1"/>
  <c r="AA106" i="10" s="1"/>
  <c r="M42" i="10"/>
  <c r="M57" i="10"/>
  <c r="M105" i="10" s="1"/>
  <c r="M88" i="10"/>
  <c r="R90" i="10"/>
  <c r="L77" i="10"/>
  <c r="L74" i="10"/>
  <c r="Q98" i="10"/>
  <c r="AC94" i="10"/>
  <c r="AC96" i="10"/>
  <c r="AC86" i="10"/>
  <c r="AC81" i="10"/>
  <c r="AC73" i="10"/>
  <c r="AC98" i="10"/>
  <c r="AC80" i="10"/>
  <c r="AC95" i="10"/>
  <c r="AC75" i="10"/>
  <c r="AC103" i="10"/>
  <c r="AC71" i="10"/>
  <c r="AC87" i="10"/>
  <c r="AC72" i="10"/>
  <c r="AC76" i="10"/>
  <c r="AC79" i="10"/>
  <c r="P40" i="10"/>
  <c r="P83" i="10"/>
  <c r="AA78" i="10"/>
  <c r="R70" i="10"/>
  <c r="L69" i="10"/>
  <c r="AB99" i="10"/>
  <c r="L76" i="10"/>
  <c r="L68" i="10"/>
  <c r="R83" i="10"/>
  <c r="AB57" i="10"/>
  <c r="AB105" i="10" s="1"/>
  <c r="AB88" i="10"/>
  <c r="Y101" i="10"/>
  <c r="Y78" i="10"/>
  <c r="U71" i="10"/>
  <c r="R95" i="10"/>
  <c r="H89" i="10"/>
  <c r="U65" i="10"/>
  <c r="Y63" i="10"/>
  <c r="H105" i="10"/>
  <c r="O58" i="10"/>
  <c r="O106" i="10"/>
  <c r="D78" i="10"/>
  <c r="Y65" i="10"/>
  <c r="N97" i="10"/>
  <c r="AC77" i="10"/>
  <c r="AC66" i="10"/>
  <c r="AC65" i="10"/>
  <c r="D73" i="10"/>
  <c r="AC78" i="10"/>
  <c r="R87" i="10"/>
  <c r="Z40" i="10"/>
  <c r="AF30" i="10"/>
  <c r="L105" i="10"/>
  <c r="V42" i="10"/>
  <c r="V90" i="10" s="1"/>
  <c r="V88" i="10"/>
  <c r="M77" i="10"/>
  <c r="M72" i="10"/>
  <c r="M89" i="10"/>
  <c r="Q64" i="10"/>
  <c r="Q81" i="10"/>
  <c r="Q82" i="10"/>
  <c r="Q95" i="10"/>
  <c r="Q68" i="10"/>
  <c r="AD90" i="10"/>
  <c r="L88" i="10"/>
  <c r="Q80" i="10"/>
  <c r="M96" i="10"/>
  <c r="Q101" i="10"/>
  <c r="U88" i="10"/>
  <c r="M94" i="10"/>
  <c r="M99" i="10" s="1"/>
  <c r="M101" i="10"/>
  <c r="M76" i="10"/>
  <c r="Q93" i="10"/>
  <c r="M73" i="10"/>
  <c r="M79" i="10"/>
  <c r="Q86" i="10"/>
  <c r="Q76" i="10"/>
  <c r="M97" i="10"/>
  <c r="Q77" i="10"/>
  <c r="Q66" i="10"/>
  <c r="Q72" i="10"/>
  <c r="Q63" i="10"/>
  <c r="M95" i="10"/>
  <c r="M63" i="10"/>
  <c r="Q87" i="10"/>
  <c r="M81" i="10"/>
  <c r="Q73" i="10"/>
  <c r="Q94" i="10"/>
  <c r="Q85" i="10"/>
  <c r="G57" i="9"/>
  <c r="G105" i="9"/>
  <c r="AB88" i="9"/>
  <c r="AB77" i="9"/>
  <c r="AB89" i="9"/>
  <c r="O97" i="9"/>
  <c r="O88" i="9"/>
  <c r="O71" i="9"/>
  <c r="O66" i="9"/>
  <c r="O78" i="9"/>
  <c r="O103" i="9"/>
  <c r="O96" i="9"/>
  <c r="O99" i="9" s="1"/>
  <c r="O87" i="9"/>
  <c r="O73" i="9"/>
  <c r="O101" i="9"/>
  <c r="O76" i="9"/>
  <c r="O94" i="9"/>
  <c r="O69" i="9"/>
  <c r="O63" i="9"/>
  <c r="O68" i="9"/>
  <c r="O81" i="9"/>
  <c r="O74" i="9"/>
  <c r="O82" i="9"/>
  <c r="O77" i="9"/>
  <c r="O98" i="9"/>
  <c r="O80" i="9"/>
  <c r="O65" i="9"/>
  <c r="O72" i="9"/>
  <c r="O93" i="9"/>
  <c r="O67" i="9"/>
  <c r="O95" i="9"/>
  <c r="AF9" i="9"/>
  <c r="O89" i="9"/>
  <c r="O79" i="9"/>
  <c r="O86" i="9"/>
  <c r="X86" i="9"/>
  <c r="X98" i="9"/>
  <c r="X63" i="9"/>
  <c r="X93" i="9"/>
  <c r="X75" i="9"/>
  <c r="X78" i="9"/>
  <c r="X94" i="9"/>
  <c r="X74" i="9"/>
  <c r="X85" i="9"/>
  <c r="X89" i="9"/>
  <c r="X82" i="9"/>
  <c r="X68" i="9"/>
  <c r="X70" i="9"/>
  <c r="X101" i="9"/>
  <c r="X67" i="9"/>
  <c r="X76" i="9"/>
  <c r="X77" i="9"/>
  <c r="X65" i="9"/>
  <c r="X97" i="9"/>
  <c r="X80" i="9"/>
  <c r="X95" i="9"/>
  <c r="X73" i="9"/>
  <c r="X69" i="9"/>
  <c r="X103" i="9"/>
  <c r="X64" i="9"/>
  <c r="X66" i="9"/>
  <c r="X81" i="9"/>
  <c r="X96" i="9"/>
  <c r="AB106" i="9"/>
  <c r="O85" i="9"/>
  <c r="X83" i="9"/>
  <c r="AF51" i="9"/>
  <c r="B57" i="9"/>
  <c r="AB87" i="9"/>
  <c r="S74" i="9"/>
  <c r="O70" i="9"/>
  <c r="X79" i="9"/>
  <c r="O64" i="9"/>
  <c r="O83" i="9"/>
  <c r="AB94" i="9"/>
  <c r="AB85" i="9"/>
  <c r="AB95" i="9"/>
  <c r="AB98" i="9"/>
  <c r="AB69" i="9"/>
  <c r="AB68" i="9"/>
  <c r="AB80" i="9"/>
  <c r="AB81" i="9"/>
  <c r="AB79" i="9"/>
  <c r="AB86" i="9"/>
  <c r="AB63" i="9"/>
  <c r="AB67" i="9"/>
  <c r="AB83" i="9"/>
  <c r="AB73" i="9"/>
  <c r="AB97" i="9"/>
  <c r="AB96" i="9"/>
  <c r="AB99" i="9" s="1"/>
  <c r="AB93" i="9"/>
  <c r="AB75" i="9"/>
  <c r="AB71" i="9"/>
  <c r="AB65" i="9"/>
  <c r="AB64" i="9"/>
  <c r="AB78" i="9"/>
  <c r="AB101" i="9"/>
  <c r="AB74" i="9"/>
  <c r="AB82" i="9"/>
  <c r="AB76" i="9"/>
  <c r="W42" i="9"/>
  <c r="W88" i="9"/>
  <c r="W57" i="9"/>
  <c r="W105" i="9" s="1"/>
  <c r="AB72" i="9"/>
  <c r="S96" i="9"/>
  <c r="S72" i="9"/>
  <c r="S88" i="9"/>
  <c r="S85" i="9"/>
  <c r="S71" i="9"/>
  <c r="S68" i="9"/>
  <c r="S64" i="9"/>
  <c r="S70" i="9"/>
  <c r="S79" i="9"/>
  <c r="S76" i="9"/>
  <c r="S73" i="9"/>
  <c r="S97" i="9"/>
  <c r="S83" i="9"/>
  <c r="S87" i="9"/>
  <c r="S94" i="9"/>
  <c r="S69" i="9"/>
  <c r="S93" i="9"/>
  <c r="S99" i="9" s="1"/>
  <c r="S98" i="9"/>
  <c r="S89" i="9"/>
  <c r="S67" i="9"/>
  <c r="S86" i="9"/>
  <c r="S80" i="9"/>
  <c r="S66" i="9"/>
  <c r="S103" i="9"/>
  <c r="S101" i="9"/>
  <c r="S63" i="9"/>
  <c r="S77" i="9"/>
  <c r="S75" i="9"/>
  <c r="S81" i="9"/>
  <c r="S82" i="9"/>
  <c r="S95" i="9"/>
  <c r="S65" i="9"/>
  <c r="O90" i="9"/>
  <c r="O58" i="9"/>
  <c r="O106" i="9"/>
  <c r="N58" i="9"/>
  <c r="N106" i="9" s="1"/>
  <c r="N57" i="9"/>
  <c r="N105" i="9" s="1"/>
  <c r="AB66" i="9"/>
  <c r="J42" i="9"/>
  <c r="J57" i="9"/>
  <c r="J105" i="9" s="1"/>
  <c r="J88" i="9"/>
  <c r="AB103" i="9"/>
  <c r="B58" i="9"/>
  <c r="B106" i="9" s="1"/>
  <c r="X72" i="9"/>
  <c r="T89" i="9"/>
  <c r="T82" i="9"/>
  <c r="T98" i="9"/>
  <c r="T64" i="9"/>
  <c r="T95" i="9"/>
  <c r="T81" i="9"/>
  <c r="T87" i="9"/>
  <c r="T103" i="9"/>
  <c r="T77" i="9"/>
  <c r="T70" i="9"/>
  <c r="T73" i="9"/>
  <c r="T69" i="9"/>
  <c r="T78" i="9"/>
  <c r="T85" i="9"/>
  <c r="T75" i="9"/>
  <c r="K94" i="9"/>
  <c r="P105" i="9"/>
  <c r="K74" i="9"/>
  <c r="P97" i="9"/>
  <c r="G89" i="9"/>
  <c r="T66" i="9"/>
  <c r="T72" i="9"/>
  <c r="C72" i="9"/>
  <c r="C81" i="9"/>
  <c r="C70" i="9"/>
  <c r="C74" i="9"/>
  <c r="C75" i="9"/>
  <c r="C82" i="9"/>
  <c r="C78" i="9"/>
  <c r="C67" i="9"/>
  <c r="C65" i="9"/>
  <c r="C96" i="9"/>
  <c r="C85" i="9"/>
  <c r="C80" i="9"/>
  <c r="C93" i="9"/>
  <c r="C79" i="9"/>
  <c r="C76" i="9"/>
  <c r="C77" i="9"/>
  <c r="C88" i="9"/>
  <c r="C103" i="9"/>
  <c r="L75" i="9"/>
  <c r="L93" i="9"/>
  <c r="L79" i="9"/>
  <c r="L86" i="9"/>
  <c r="L80" i="9"/>
  <c r="L71" i="9"/>
  <c r="L98" i="9"/>
  <c r="L82" i="9"/>
  <c r="L81" i="9"/>
  <c r="L72" i="9"/>
  <c r="L77" i="9"/>
  <c r="L76" i="9"/>
  <c r="L101" i="9"/>
  <c r="L58" i="9"/>
  <c r="L106" i="9"/>
  <c r="L90" i="9"/>
  <c r="G103" i="9"/>
  <c r="L78" i="9"/>
  <c r="P63" i="9"/>
  <c r="L97" i="9"/>
  <c r="AA57" i="9"/>
  <c r="AA105" i="9"/>
  <c r="C101" i="9"/>
  <c r="C73" i="9"/>
  <c r="C68" i="9"/>
  <c r="P88" i="9"/>
  <c r="Z57" i="9"/>
  <c r="Z105" i="9"/>
  <c r="T74" i="9"/>
  <c r="H75" i="9"/>
  <c r="H93" i="9"/>
  <c r="H99" i="9" s="1"/>
  <c r="H74" i="9"/>
  <c r="H88" i="9"/>
  <c r="H101" i="9"/>
  <c r="H83" i="9"/>
  <c r="H65" i="9"/>
  <c r="H67" i="9"/>
  <c r="H72" i="9"/>
  <c r="H86" i="9"/>
  <c r="H80" i="9"/>
  <c r="H76" i="9"/>
  <c r="H69" i="9"/>
  <c r="H63" i="9"/>
  <c r="H89" i="9"/>
  <c r="X40" i="9"/>
  <c r="X57" i="9" s="1"/>
  <c r="X105" i="9" s="1"/>
  <c r="AF19" i="9"/>
  <c r="AF30" i="9"/>
  <c r="J78" i="9"/>
  <c r="K76" i="9"/>
  <c r="K67" i="9"/>
  <c r="K98" i="9"/>
  <c r="K99" i="9" s="1"/>
  <c r="K70" i="9"/>
  <c r="K82" i="9"/>
  <c r="K66" i="9"/>
  <c r="K89" i="9"/>
  <c r="K77" i="9"/>
  <c r="K95" i="9"/>
  <c r="K103" i="9"/>
  <c r="K85" i="9"/>
  <c r="K65" i="9"/>
  <c r="K93" i="9"/>
  <c r="K68" i="9"/>
  <c r="K83" i="9"/>
  <c r="K80" i="9"/>
  <c r="K97" i="9"/>
  <c r="K86" i="9"/>
  <c r="K71" i="9"/>
  <c r="K79" i="9"/>
  <c r="K64" i="9"/>
  <c r="K63" i="9"/>
  <c r="K69" i="9"/>
  <c r="T79" i="9"/>
  <c r="T94" i="9"/>
  <c r="T99" i="9"/>
  <c r="T67" i="9"/>
  <c r="G66" i="9"/>
  <c r="G72" i="9"/>
  <c r="G73" i="9"/>
  <c r="G80" i="9"/>
  <c r="G68" i="9"/>
  <c r="G85" i="9"/>
  <c r="G69" i="9"/>
  <c r="P66" i="9"/>
  <c r="P86" i="9"/>
  <c r="P70" i="9"/>
  <c r="P82" i="9"/>
  <c r="P72" i="9"/>
  <c r="P83" i="9"/>
  <c r="P95" i="9"/>
  <c r="P99" i="9"/>
  <c r="P79" i="9"/>
  <c r="P75" i="9"/>
  <c r="P77" i="9"/>
  <c r="P98" i="9"/>
  <c r="P87" i="9"/>
  <c r="P76" i="9"/>
  <c r="K42" i="9"/>
  <c r="K88" i="9"/>
  <c r="G96" i="9"/>
  <c r="G99" i="9" s="1"/>
  <c r="P96" i="9"/>
  <c r="P73" i="9"/>
  <c r="T76" i="9"/>
  <c r="P94" i="9"/>
  <c r="S58" i="9"/>
  <c r="S106" i="9"/>
  <c r="G97" i="9"/>
  <c r="G71" i="9"/>
  <c r="P71" i="9"/>
  <c r="L94" i="9"/>
  <c r="L73" i="9"/>
  <c r="P80" i="9"/>
  <c r="P68" i="9"/>
  <c r="K96" i="9"/>
  <c r="L66" i="9"/>
  <c r="K72" i="9"/>
  <c r="L95" i="9"/>
  <c r="L99" i="9" s="1"/>
  <c r="K81" i="9"/>
  <c r="C63" i="9"/>
  <c r="P64" i="9"/>
  <c r="P78" i="9"/>
  <c r="G81" i="9"/>
  <c r="G67" i="9"/>
  <c r="D82" i="9"/>
  <c r="D81" i="9"/>
  <c r="D74" i="9"/>
  <c r="D93" i="9"/>
  <c r="D73" i="9"/>
  <c r="D75" i="9"/>
  <c r="D65" i="9"/>
  <c r="D68" i="9"/>
  <c r="D89" i="9"/>
  <c r="D76" i="9"/>
  <c r="D70" i="9"/>
  <c r="D63" i="9"/>
  <c r="D96" i="9"/>
  <c r="D103" i="9"/>
  <c r="D85" i="9"/>
  <c r="D87" i="9"/>
  <c r="D94" i="9"/>
  <c r="AA66" i="9"/>
  <c r="AA85" i="9"/>
  <c r="AA79" i="9"/>
  <c r="AA98" i="9"/>
  <c r="AA75" i="9"/>
  <c r="AA64" i="9"/>
  <c r="AA95" i="9"/>
  <c r="AA76" i="9"/>
  <c r="AA101" i="9"/>
  <c r="AA82" i="9"/>
  <c r="AA94" i="9"/>
  <c r="AA81" i="9"/>
  <c r="AA72" i="9"/>
  <c r="AA69" i="9"/>
  <c r="AA73" i="9"/>
  <c r="AA86" i="9"/>
  <c r="AA87" i="9"/>
  <c r="U57" i="9"/>
  <c r="U105" i="9"/>
  <c r="U42" i="9"/>
  <c r="U58" i="9" s="1"/>
  <c r="T90" i="9"/>
  <c r="AB105" i="9"/>
  <c r="M42" i="9"/>
  <c r="M88" i="9"/>
  <c r="G75" i="9"/>
  <c r="G70" i="9"/>
  <c r="L85" i="9"/>
  <c r="L70" i="9"/>
  <c r="P89" i="9"/>
  <c r="P103" i="9"/>
  <c r="K87" i="9"/>
  <c r="C98" i="9"/>
  <c r="C69" i="9"/>
  <c r="T71" i="9"/>
  <c r="C64" i="9"/>
  <c r="W77" i="9"/>
  <c r="W66" i="9"/>
  <c r="W67" i="9"/>
  <c r="W79" i="9"/>
  <c r="W86" i="9"/>
  <c r="W64" i="9"/>
  <c r="W81" i="9"/>
  <c r="W89" i="9"/>
  <c r="W80" i="9"/>
  <c r="W98" i="9"/>
  <c r="W94" i="9"/>
  <c r="W96" i="9"/>
  <c r="W74" i="9"/>
  <c r="W72" i="9"/>
  <c r="W83" i="9"/>
  <c r="W101" i="9"/>
  <c r="W70" i="9"/>
  <c r="W95" i="9"/>
  <c r="W75" i="9"/>
  <c r="W73" i="9"/>
  <c r="W85" i="9"/>
  <c r="T88" i="9"/>
  <c r="V106" i="9"/>
  <c r="V90" i="9"/>
  <c r="M90" i="7"/>
  <c r="Y57" i="7"/>
  <c r="Y105" i="7"/>
  <c r="H64" i="7"/>
  <c r="G98" i="7"/>
  <c r="M83" i="7"/>
  <c r="M85" i="7"/>
  <c r="H80" i="7"/>
  <c r="L66" i="7"/>
  <c r="H68" i="7"/>
  <c r="G87" i="7"/>
  <c r="S72" i="7"/>
  <c r="L101" i="7"/>
  <c r="Y42" i="7"/>
  <c r="H85" i="7"/>
  <c r="C87" i="7"/>
  <c r="M66" i="7"/>
  <c r="Y77" i="7"/>
  <c r="Y73" i="7"/>
  <c r="S74" i="7"/>
  <c r="S69" i="7"/>
  <c r="U95" i="7"/>
  <c r="U82" i="7"/>
  <c r="U77" i="7"/>
  <c r="U73" i="7"/>
  <c r="U70" i="7"/>
  <c r="U68" i="7"/>
  <c r="U67" i="7"/>
  <c r="U86" i="7"/>
  <c r="U79" i="7"/>
  <c r="U103" i="7"/>
  <c r="AE42" i="7"/>
  <c r="AE88" i="7"/>
  <c r="AE57" i="7"/>
  <c r="AE105" i="7" s="1"/>
  <c r="U63" i="7"/>
  <c r="C64" i="7"/>
  <c r="U98" i="7"/>
  <c r="O88" i="7"/>
  <c r="G68" i="7"/>
  <c r="AA94" i="7"/>
  <c r="C82" i="7"/>
  <c r="H95" i="7"/>
  <c r="V81" i="7"/>
  <c r="G79" i="7"/>
  <c r="C106" i="7"/>
  <c r="U69" i="7"/>
  <c r="D68" i="7"/>
  <c r="V65" i="7"/>
  <c r="W80" i="7"/>
  <c r="W93" i="7"/>
  <c r="W95" i="7"/>
  <c r="W78" i="7"/>
  <c r="W73" i="7"/>
  <c r="W97" i="7"/>
  <c r="W89" i="7"/>
  <c r="W68" i="7"/>
  <c r="W94" i="7"/>
  <c r="W70" i="7"/>
  <c r="W96" i="7"/>
  <c r="W82" i="7"/>
  <c r="W79" i="7"/>
  <c r="W77" i="7"/>
  <c r="E82" i="7"/>
  <c r="E86" i="7"/>
  <c r="E101" i="7"/>
  <c r="E70" i="7"/>
  <c r="E83" i="7"/>
  <c r="E67" i="7"/>
  <c r="E103" i="7"/>
  <c r="E69" i="7"/>
  <c r="E95" i="7"/>
  <c r="E96" i="7"/>
  <c r="E81" i="7"/>
  <c r="E64" i="7"/>
  <c r="E97" i="7"/>
  <c r="E98" i="7"/>
  <c r="E63" i="7"/>
  <c r="J64" i="7"/>
  <c r="J82" i="7"/>
  <c r="J101" i="7"/>
  <c r="J78" i="7"/>
  <c r="J97" i="7"/>
  <c r="J81" i="7"/>
  <c r="J83" i="7"/>
  <c r="J66" i="7"/>
  <c r="J63" i="7"/>
  <c r="J77" i="7"/>
  <c r="J98" i="7"/>
  <c r="J100" i="7"/>
  <c r="J93" i="7"/>
  <c r="J103" i="7"/>
  <c r="J67" i="7"/>
  <c r="J65" i="7"/>
  <c r="J94" i="7"/>
  <c r="J99" i="7" s="1"/>
  <c r="P80" i="7"/>
  <c r="P82" i="7"/>
  <c r="P77" i="7"/>
  <c r="P69" i="7"/>
  <c r="P76" i="7"/>
  <c r="P75" i="7"/>
  <c r="P63" i="7"/>
  <c r="P86" i="7"/>
  <c r="P65" i="7"/>
  <c r="P93" i="7"/>
  <c r="U42" i="7"/>
  <c r="U88" i="7"/>
  <c r="E88" i="7"/>
  <c r="E42" i="7"/>
  <c r="K58" i="7"/>
  <c r="K106" i="7" s="1"/>
  <c r="K90" i="7"/>
  <c r="L90" i="7"/>
  <c r="L58" i="7"/>
  <c r="L106" i="7"/>
  <c r="G85" i="7"/>
  <c r="G88" i="7"/>
  <c r="G69" i="7"/>
  <c r="G64" i="7"/>
  <c r="G67" i="7"/>
  <c r="G96" i="7"/>
  <c r="G78" i="7"/>
  <c r="G65" i="7"/>
  <c r="G93" i="7"/>
  <c r="G99" i="7"/>
  <c r="G90" i="7"/>
  <c r="G86" i="7"/>
  <c r="Y103" i="7"/>
  <c r="Y67" i="7"/>
  <c r="Y96" i="7"/>
  <c r="Y81" i="7"/>
  <c r="Y82" i="7"/>
  <c r="Y98" i="7"/>
  <c r="Y66" i="7"/>
  <c r="Y85" i="7"/>
  <c r="Y63" i="7"/>
  <c r="Y72" i="7"/>
  <c r="Y74" i="7"/>
  <c r="Y70" i="7"/>
  <c r="Y80" i="7"/>
  <c r="Y93" i="7"/>
  <c r="Y99" i="7" s="1"/>
  <c r="Y64" i="7"/>
  <c r="Y86" i="7"/>
  <c r="Y75" i="7"/>
  <c r="G106" i="7"/>
  <c r="G71" i="7"/>
  <c r="Y76" i="7"/>
  <c r="G74" i="7"/>
  <c r="L94" i="7"/>
  <c r="L71" i="7"/>
  <c r="L85" i="7"/>
  <c r="L63" i="7"/>
  <c r="L96" i="7"/>
  <c r="L87" i="7"/>
  <c r="L77" i="7"/>
  <c r="L72" i="7"/>
  <c r="S96" i="7"/>
  <c r="S86" i="7"/>
  <c r="S76" i="7"/>
  <c r="S83" i="7"/>
  <c r="S97" i="7"/>
  <c r="S73" i="7"/>
  <c r="S100" i="7"/>
  <c r="S66" i="7"/>
  <c r="S82" i="7"/>
  <c r="S101" i="7"/>
  <c r="S75" i="7"/>
  <c r="S67" i="7"/>
  <c r="S65" i="7"/>
  <c r="S64" i="7"/>
  <c r="S70" i="7"/>
  <c r="R57" i="7"/>
  <c r="R105" i="7" s="1"/>
  <c r="L105" i="7"/>
  <c r="L89" i="7"/>
  <c r="G66" i="7"/>
  <c r="G83" i="7"/>
  <c r="Y65" i="7"/>
  <c r="Y100" i="7"/>
  <c r="G82" i="7"/>
  <c r="H73" i="7"/>
  <c r="H97" i="7"/>
  <c r="H93" i="7"/>
  <c r="H99" i="7" s="1"/>
  <c r="H76" i="7"/>
  <c r="H87" i="7"/>
  <c r="H65" i="7"/>
  <c r="H82" i="7"/>
  <c r="H94" i="7"/>
  <c r="H89" i="7"/>
  <c r="H66" i="7"/>
  <c r="Y78" i="7"/>
  <c r="H57" i="7"/>
  <c r="H105" i="7"/>
  <c r="H88" i="7"/>
  <c r="L100" i="7"/>
  <c r="G63" i="7"/>
  <c r="M94" i="7"/>
  <c r="S78" i="7"/>
  <c r="Y89" i="7"/>
  <c r="S80" i="7"/>
  <c r="I42" i="7"/>
  <c r="I88" i="7"/>
  <c r="G103" i="7"/>
  <c r="H77" i="7"/>
  <c r="L98" i="7"/>
  <c r="G100" i="7"/>
  <c r="AA78" i="7"/>
  <c r="AA73" i="7"/>
  <c r="AA93" i="7"/>
  <c r="AA99" i="7" s="1"/>
  <c r="AA63" i="7"/>
  <c r="AA81" i="7"/>
  <c r="AA100" i="7"/>
  <c r="AA74" i="7"/>
  <c r="Q58" i="7"/>
  <c r="Q106" i="7" s="1"/>
  <c r="L78" i="7"/>
  <c r="H70" i="7"/>
  <c r="G70" i="7"/>
  <c r="S103" i="7"/>
  <c r="M97" i="7"/>
  <c r="D93" i="7"/>
  <c r="L69" i="7"/>
  <c r="O85" i="7"/>
  <c r="Y87" i="7"/>
  <c r="L70" i="7"/>
  <c r="V42" i="7"/>
  <c r="X58" i="7"/>
  <c r="X106" i="7" s="1"/>
  <c r="S68" i="7"/>
  <c r="L93" i="7"/>
  <c r="D79" i="7"/>
  <c r="D81" i="7"/>
  <c r="P100" i="7"/>
  <c r="P85" i="7"/>
  <c r="P101" i="7"/>
  <c r="H81" i="7"/>
  <c r="C75" i="7"/>
  <c r="U75" i="7"/>
  <c r="AA97" i="7"/>
  <c r="V98" i="7"/>
  <c r="V63" i="7"/>
  <c r="O86" i="7"/>
  <c r="U83" i="7"/>
  <c r="G97" i="7"/>
  <c r="G81" i="7"/>
  <c r="U78" i="7"/>
  <c r="W90" i="7"/>
  <c r="W98" i="7"/>
  <c r="W67" i="7"/>
  <c r="S98" i="7"/>
  <c r="S95" i="7"/>
  <c r="AA79" i="7"/>
  <c r="AH35" i="7"/>
  <c r="J79" i="7"/>
  <c r="M101" i="7"/>
  <c r="E93" i="7"/>
  <c r="E100" i="7"/>
  <c r="H96" i="7"/>
  <c r="L64" i="7"/>
  <c r="P74" i="7"/>
  <c r="U85" i="7"/>
  <c r="Y69" i="7"/>
  <c r="Y68" i="7"/>
  <c r="J70" i="7"/>
  <c r="J89" i="7"/>
  <c r="J76" i="7"/>
  <c r="G80" i="7"/>
  <c r="J86" i="7"/>
  <c r="L95" i="7"/>
  <c r="AA69" i="7"/>
  <c r="L80" i="7"/>
  <c r="P70" i="7"/>
  <c r="Q85" i="7"/>
  <c r="Q68" i="7"/>
  <c r="Q93" i="7"/>
  <c r="Q99" i="7"/>
  <c r="Q101" i="7"/>
  <c r="Q63" i="7"/>
  <c r="Q80" i="7"/>
  <c r="Q70" i="7"/>
  <c r="Q88" i="7"/>
  <c r="Q71" i="7"/>
  <c r="Q75" i="7"/>
  <c r="Q98" i="7"/>
  <c r="Q79" i="7"/>
  <c r="Q89" i="7"/>
  <c r="G77" i="7"/>
  <c r="G75" i="7"/>
  <c r="L86" i="7"/>
  <c r="L79" i="7"/>
  <c r="M87" i="7"/>
  <c r="M68" i="7"/>
  <c r="M65" i="7"/>
  <c r="M98" i="7"/>
  <c r="M82" i="7"/>
  <c r="M95" i="7"/>
  <c r="M86" i="7"/>
  <c r="M63" i="7"/>
  <c r="M105" i="7"/>
  <c r="M75" i="7"/>
  <c r="M64" i="7"/>
  <c r="M80" i="7"/>
  <c r="M93" i="7"/>
  <c r="L75" i="7"/>
  <c r="G89" i="7"/>
  <c r="Y94" i="7"/>
  <c r="L103" i="7"/>
  <c r="M89" i="7"/>
  <c r="C89" i="7"/>
  <c r="C96" i="7"/>
  <c r="C71" i="7"/>
  <c r="C100" i="7"/>
  <c r="C70" i="7"/>
  <c r="C73" i="7"/>
  <c r="C67" i="7"/>
  <c r="C68" i="7"/>
  <c r="AH9" i="7"/>
  <c r="C97" i="7"/>
  <c r="C98" i="7"/>
  <c r="C95" i="7"/>
  <c r="C94" i="7"/>
  <c r="C99" i="7"/>
  <c r="C103" i="7"/>
  <c r="AD42" i="7"/>
  <c r="AD88" i="7"/>
  <c r="L74" i="7"/>
  <c r="C63" i="7"/>
  <c r="G73" i="7"/>
  <c r="G94" i="7"/>
  <c r="Z40" i="7"/>
  <c r="Z42" i="7" s="1"/>
  <c r="Z58" i="7" s="1"/>
  <c r="Z106" i="7" s="1"/>
  <c r="S89" i="7"/>
  <c r="N42" i="7"/>
  <c r="N90" i="7" s="1"/>
  <c r="C74" i="7"/>
  <c r="L82" i="7"/>
  <c r="H63" i="7"/>
  <c r="D98" i="7"/>
  <c r="D86" i="7"/>
  <c r="D77" i="7"/>
  <c r="D70" i="7"/>
  <c r="D67" i="7"/>
  <c r="D63" i="7"/>
  <c r="D73" i="7"/>
  <c r="D97" i="7"/>
  <c r="D65" i="7"/>
  <c r="O63" i="7"/>
  <c r="O67" i="7"/>
  <c r="O70" i="7"/>
  <c r="O95" i="7"/>
  <c r="O99" i="7"/>
  <c r="O66" i="7"/>
  <c r="O103" i="7"/>
  <c r="O79" i="7"/>
  <c r="O101" i="7"/>
  <c r="O89" i="7"/>
  <c r="O87" i="7"/>
  <c r="O68" i="7"/>
  <c r="O77" i="7"/>
  <c r="O81" i="7"/>
  <c r="D88" i="7"/>
  <c r="AC99" i="7"/>
  <c r="J57" i="7"/>
  <c r="J105" i="7"/>
  <c r="D87" i="7"/>
  <c r="D96" i="7"/>
  <c r="C81" i="7"/>
  <c r="AA65" i="7"/>
  <c r="V77" i="7"/>
  <c r="V76" i="7"/>
  <c r="V78" i="7"/>
  <c r="V82" i="7"/>
  <c r="V87" i="7"/>
  <c r="V69" i="7"/>
  <c r="V73" i="7"/>
  <c r="V72" i="7"/>
  <c r="V66" i="7"/>
  <c r="V79" i="7"/>
  <c r="V70" i="7"/>
  <c r="H58" i="7"/>
  <c r="H106" i="7" s="1"/>
  <c r="L67" i="7"/>
  <c r="D103" i="7"/>
  <c r="D95" i="7"/>
  <c r="AH19" i="7"/>
  <c r="P81" i="7"/>
  <c r="P72" i="7"/>
  <c r="H69" i="7"/>
  <c r="H86" i="7"/>
  <c r="C76" i="7"/>
  <c r="U94" i="7"/>
  <c r="AA89" i="7"/>
  <c r="V96" i="7"/>
  <c r="O83" i="7"/>
  <c r="O100" i="7"/>
  <c r="G101" i="7"/>
  <c r="U66" i="7"/>
  <c r="W65" i="7"/>
  <c r="W85" i="7"/>
  <c r="V95" i="7"/>
  <c r="J87" i="7"/>
  <c r="M74" i="7"/>
  <c r="M77" i="7"/>
  <c r="C85" i="7"/>
  <c r="D74" i="7"/>
  <c r="E75" i="7"/>
  <c r="E78" i="7"/>
  <c r="H74" i="7"/>
  <c r="L83" i="7"/>
  <c r="P87" i="7"/>
  <c r="U96" i="7"/>
  <c r="Y79" i="7"/>
  <c r="Y95" i="7"/>
  <c r="S88" i="7"/>
  <c r="M78" i="7"/>
  <c r="S85" i="7"/>
  <c r="R42" i="7"/>
  <c r="S94" i="7"/>
  <c r="S99" i="7" s="1"/>
  <c r="S79" i="7"/>
  <c r="J96" i="7"/>
  <c r="AB65" i="7"/>
  <c r="AB73" i="7"/>
  <c r="AB97" i="7"/>
  <c r="AB82" i="7"/>
  <c r="AB66" i="7"/>
  <c r="AB67" i="7"/>
  <c r="AB69" i="7"/>
  <c r="AB68" i="7"/>
  <c r="AB71" i="7"/>
  <c r="AB94" i="7"/>
  <c r="AB93" i="7"/>
  <c r="AB78" i="7"/>
  <c r="AB83" i="7"/>
  <c r="G76" i="7"/>
  <c r="K80" i="7"/>
  <c r="K103" i="7"/>
  <c r="K98" i="7"/>
  <c r="K77" i="7"/>
  <c r="K81" i="7"/>
  <c r="K89" i="7"/>
  <c r="K93" i="7"/>
  <c r="K99" i="7" s="1"/>
  <c r="K94" i="7"/>
  <c r="K68" i="7"/>
  <c r="K86" i="7"/>
  <c r="Y71" i="7"/>
  <c r="AF97" i="7"/>
  <c r="AF73" i="7"/>
  <c r="AF100" i="7"/>
  <c r="AF66" i="7"/>
  <c r="AF103" i="7"/>
  <c r="AF82" i="7"/>
  <c r="AF65" i="7"/>
  <c r="AF86" i="7"/>
  <c r="AF63" i="7"/>
  <c r="AF88" i="7"/>
  <c r="AF64" i="7"/>
  <c r="AF69" i="7"/>
  <c r="AF72" i="7"/>
  <c r="AF95" i="7"/>
  <c r="AF67" i="7"/>
  <c r="AF79" i="7"/>
  <c r="AB105" i="7"/>
  <c r="K105" i="7"/>
  <c r="AA105" i="7"/>
  <c r="N83" i="7"/>
  <c r="N98" i="7"/>
  <c r="N94" i="7"/>
  <c r="N78" i="7"/>
  <c r="N82" i="7"/>
  <c r="N87" i="7"/>
  <c r="N69" i="7"/>
  <c r="N73" i="7"/>
  <c r="N72" i="7"/>
  <c r="N89" i="7"/>
  <c r="N95" i="7"/>
  <c r="N99" i="7" s="1"/>
  <c r="N100" i="7"/>
  <c r="N68" i="7"/>
  <c r="T100" i="7"/>
  <c r="T103" i="7"/>
  <c r="T96" i="7"/>
  <c r="T67" i="7"/>
  <c r="T66" i="7"/>
  <c r="T76" i="7"/>
  <c r="T85" i="7"/>
  <c r="T89" i="7"/>
  <c r="T94" i="7"/>
  <c r="T99" i="7" s="1"/>
  <c r="P57" i="7"/>
  <c r="P105" i="7"/>
  <c r="I70" i="7"/>
  <c r="I94" i="7"/>
  <c r="I101" i="7"/>
  <c r="I97" i="7"/>
  <c r="I80" i="7"/>
  <c r="I76" i="7"/>
  <c r="I71" i="7"/>
  <c r="I81" i="7"/>
  <c r="M88" i="7"/>
  <c r="Q57" i="7"/>
  <c r="Q105" i="7" s="1"/>
  <c r="D99" i="12"/>
  <c r="D57" i="12"/>
  <c r="D105" i="12" s="1"/>
  <c r="U66" i="12"/>
  <c r="U76" i="12"/>
  <c r="U77" i="12"/>
  <c r="U73" i="12"/>
  <c r="U67" i="12"/>
  <c r="U87" i="12"/>
  <c r="U63" i="12"/>
  <c r="U103" i="12"/>
  <c r="U69" i="12"/>
  <c r="U83" i="12"/>
  <c r="U89" i="12"/>
  <c r="U74" i="12"/>
  <c r="U97" i="12"/>
  <c r="U101" i="12"/>
  <c r="K58" i="12"/>
  <c r="K106" i="12" s="1"/>
  <c r="U93" i="12"/>
  <c r="AB90" i="12"/>
  <c r="AB58" i="12"/>
  <c r="AB106" i="12" s="1"/>
  <c r="P86" i="12"/>
  <c r="P67" i="12"/>
  <c r="P78" i="12"/>
  <c r="P69" i="12"/>
  <c r="P80" i="12"/>
  <c r="P64" i="12"/>
  <c r="P70" i="12"/>
  <c r="P72" i="12"/>
  <c r="P77" i="12"/>
  <c r="P75" i="12"/>
  <c r="P87" i="12"/>
  <c r="P96" i="12"/>
  <c r="U90" i="12"/>
  <c r="U99" i="12"/>
  <c r="V86" i="12"/>
  <c r="P73" i="12"/>
  <c r="V69" i="12"/>
  <c r="V80" i="12"/>
  <c r="V97" i="12"/>
  <c r="U98" i="12"/>
  <c r="P98" i="12"/>
  <c r="AH83" i="12"/>
  <c r="AH101" i="12"/>
  <c r="U70" i="12"/>
  <c r="V94" i="12"/>
  <c r="U85" i="12"/>
  <c r="B87" i="12"/>
  <c r="B76" i="12"/>
  <c r="B66" i="12"/>
  <c r="B82" i="12"/>
  <c r="B80" i="12"/>
  <c r="B70" i="12"/>
  <c r="B93" i="12"/>
  <c r="B73" i="12"/>
  <c r="B94" i="12"/>
  <c r="B100" i="12"/>
  <c r="B81" i="12"/>
  <c r="B86" i="12"/>
  <c r="B69" i="12"/>
  <c r="B103" i="12"/>
  <c r="W100" i="12"/>
  <c r="W73" i="12"/>
  <c r="W72" i="12"/>
  <c r="W68" i="12"/>
  <c r="W85" i="12"/>
  <c r="W76" i="12"/>
  <c r="W97" i="12"/>
  <c r="W67" i="12"/>
  <c r="AC78" i="12"/>
  <c r="AC96" i="12"/>
  <c r="AC87" i="12"/>
  <c r="AC73" i="12"/>
  <c r="AC100" i="12"/>
  <c r="AM35" i="12"/>
  <c r="C40" i="12"/>
  <c r="W40" i="12"/>
  <c r="AH88" i="12"/>
  <c r="M90" i="12"/>
  <c r="M57" i="12"/>
  <c r="M105" i="12" s="1"/>
  <c r="Y65" i="12"/>
  <c r="AE75" i="12"/>
  <c r="V103" i="12"/>
  <c r="AC67" i="12"/>
  <c r="W69" i="12"/>
  <c r="W93" i="12"/>
  <c r="W98" i="12"/>
  <c r="AC95" i="12"/>
  <c r="AC74" i="12"/>
  <c r="AC65" i="12"/>
  <c r="V63" i="12"/>
  <c r="P68" i="12"/>
  <c r="H98" i="12"/>
  <c r="B83" i="12"/>
  <c r="B78" i="12"/>
  <c r="V68" i="12"/>
  <c r="P71" i="12"/>
  <c r="P82" i="12"/>
  <c r="AH85" i="12"/>
  <c r="Y97" i="12"/>
  <c r="B72" i="12"/>
  <c r="V66" i="12"/>
  <c r="V101" i="12"/>
  <c r="U96" i="12"/>
  <c r="AC101" i="12"/>
  <c r="AC70" i="12"/>
  <c r="W101" i="12"/>
  <c r="C87" i="12"/>
  <c r="C69" i="12"/>
  <c r="C98" i="12"/>
  <c r="C63" i="12"/>
  <c r="C96" i="12"/>
  <c r="C67" i="12"/>
  <c r="C76" i="12"/>
  <c r="G96" i="12"/>
  <c r="G78" i="12"/>
  <c r="G75" i="12"/>
  <c r="G86" i="12"/>
  <c r="G100" i="12"/>
  <c r="G71" i="12"/>
  <c r="G79" i="12"/>
  <c r="G98" i="12"/>
  <c r="G70" i="12"/>
  <c r="G63" i="12"/>
  <c r="G103" i="12"/>
  <c r="G95" i="12"/>
  <c r="G77" i="12"/>
  <c r="G69" i="12"/>
  <c r="G97" i="12"/>
  <c r="G94" i="12"/>
  <c r="G73" i="12"/>
  <c r="G82" i="12"/>
  <c r="G66" i="12"/>
  <c r="L64" i="12"/>
  <c r="L87" i="12"/>
  <c r="L66" i="12"/>
  <c r="L93" i="12"/>
  <c r="L86" i="12"/>
  <c r="L88" i="12"/>
  <c r="L79" i="12"/>
  <c r="L100" i="12"/>
  <c r="L90" i="12"/>
  <c r="L95" i="12"/>
  <c r="L75" i="12"/>
  <c r="L83" i="12"/>
  <c r="L74" i="12"/>
  <c r="L96" i="12"/>
  <c r="L80" i="12"/>
  <c r="L69" i="12"/>
  <c r="Q75" i="12"/>
  <c r="Q66" i="12"/>
  <c r="Q64" i="12"/>
  <c r="Q100" i="12"/>
  <c r="Q87" i="12"/>
  <c r="Q70" i="12"/>
  <c r="Q78" i="12"/>
  <c r="Q98" i="12"/>
  <c r="Q93" i="12"/>
  <c r="Q67" i="12"/>
  <c r="Q65" i="12"/>
  <c r="Q89" i="12"/>
  <c r="Q72" i="12"/>
  <c r="Q99" i="12"/>
  <c r="AD95" i="12"/>
  <c r="AD83" i="12"/>
  <c r="AD70" i="12"/>
  <c r="AD88" i="12"/>
  <c r="AD64" i="12"/>
  <c r="AD78" i="12"/>
  <c r="AD73" i="12"/>
  <c r="AD103" i="12"/>
  <c r="AD67" i="12"/>
  <c r="AD66" i="12"/>
  <c r="AD94" i="12"/>
  <c r="AD71" i="12"/>
  <c r="AD86" i="12"/>
  <c r="AD63" i="12"/>
  <c r="AD76" i="12"/>
  <c r="G90" i="12"/>
  <c r="AI90" i="12"/>
  <c r="B63" i="12"/>
  <c r="Q74" i="12"/>
  <c r="Q80" i="12"/>
  <c r="AA93" i="12"/>
  <c r="AH75" i="12"/>
  <c r="AH97" i="12"/>
  <c r="AH100" i="12"/>
  <c r="AH94" i="12"/>
  <c r="AH66" i="12"/>
  <c r="AH78" i="12"/>
  <c r="AH67" i="12"/>
  <c r="AH73" i="12"/>
  <c r="AH70" i="12"/>
  <c r="AH74" i="12"/>
  <c r="AH93" i="12"/>
  <c r="AH95" i="12"/>
  <c r="AH68" i="12"/>
  <c r="AH80" i="12"/>
  <c r="AH81" i="12"/>
  <c r="AH77" i="12"/>
  <c r="AH71" i="12"/>
  <c r="AH65" i="12"/>
  <c r="AH86" i="12"/>
  <c r="V64" i="12"/>
  <c r="V90" i="12"/>
  <c r="V70" i="12"/>
  <c r="P85" i="12"/>
  <c r="AH87" i="12"/>
  <c r="V75" i="12"/>
  <c r="H93" i="12"/>
  <c r="H96" i="12"/>
  <c r="H72" i="12"/>
  <c r="H75" i="12"/>
  <c r="H89" i="12"/>
  <c r="H86" i="12"/>
  <c r="H103" i="12"/>
  <c r="H79" i="12"/>
  <c r="H80" i="12"/>
  <c r="H82" i="12"/>
  <c r="H81" i="12"/>
  <c r="H95" i="12"/>
  <c r="H94" i="12"/>
  <c r="H100" i="12"/>
  <c r="Y86" i="12"/>
  <c r="Y68" i="12"/>
  <c r="Y85" i="12"/>
  <c r="Y89" i="12"/>
  <c r="Y95" i="12"/>
  <c r="Y103" i="12"/>
  <c r="Y72" i="12"/>
  <c r="Y99" i="12"/>
  <c r="Y80" i="12"/>
  <c r="Y76" i="12"/>
  <c r="Y94" i="12"/>
  <c r="Y100" i="12"/>
  <c r="Y71" i="12"/>
  <c r="Y83" i="12"/>
  <c r="B51" i="12"/>
  <c r="O99" i="12"/>
  <c r="AE85" i="12"/>
  <c r="H78" i="12"/>
  <c r="W96" i="12"/>
  <c r="AC94" i="12"/>
  <c r="W79" i="12"/>
  <c r="W89" i="12"/>
  <c r="W103" i="12"/>
  <c r="AC89" i="12"/>
  <c r="AC93" i="12"/>
  <c r="V77" i="12"/>
  <c r="H97" i="12"/>
  <c r="H101" i="12"/>
  <c r="B95" i="12"/>
  <c r="P66" i="12"/>
  <c r="AH64" i="12"/>
  <c r="AH82" i="12"/>
  <c r="B85" i="12"/>
  <c r="B88" i="12"/>
  <c r="U94" i="12"/>
  <c r="U95" i="12"/>
  <c r="Y78" i="12"/>
  <c r="Y63" i="12"/>
  <c r="Y96" i="12"/>
  <c r="B68" i="12"/>
  <c r="U65" i="12"/>
  <c r="AC79" i="12"/>
  <c r="U79" i="12"/>
  <c r="AE79" i="12"/>
  <c r="H88" i="12"/>
  <c r="Y64" i="12"/>
  <c r="Y69" i="12"/>
  <c r="Y75" i="12"/>
  <c r="N88" i="12"/>
  <c r="N57" i="12"/>
  <c r="N105" i="12" s="1"/>
  <c r="AM9" i="12"/>
  <c r="U82" i="12"/>
  <c r="N42" i="12"/>
  <c r="V93" i="12"/>
  <c r="V100" i="12"/>
  <c r="V67" i="12"/>
  <c r="V95" i="12"/>
  <c r="V82" i="12"/>
  <c r="V87" i="12"/>
  <c r="V78" i="12"/>
  <c r="V73" i="12"/>
  <c r="V71" i="12"/>
  <c r="Y40" i="12"/>
  <c r="AM26" i="12"/>
  <c r="P76" i="12"/>
  <c r="AD58" i="12"/>
  <c r="AD106" i="12"/>
  <c r="H106" i="12"/>
  <c r="AE81" i="12"/>
  <c r="P103" i="12"/>
  <c r="P97" i="12"/>
  <c r="AC88" i="12"/>
  <c r="W99" i="12"/>
  <c r="W80" i="12"/>
  <c r="W94" i="12"/>
  <c r="F88" i="12"/>
  <c r="AC68" i="12"/>
  <c r="V74" i="12"/>
  <c r="V76" i="12"/>
  <c r="H87" i="12"/>
  <c r="H70" i="12"/>
  <c r="H66" i="12"/>
  <c r="B64" i="12"/>
  <c r="P95" i="12"/>
  <c r="P89" i="12"/>
  <c r="AH79" i="12"/>
  <c r="AH72" i="12"/>
  <c r="J57" i="12"/>
  <c r="J105" i="12" s="1"/>
  <c r="Y81" i="12"/>
  <c r="B101" i="12"/>
  <c r="U72" i="12"/>
  <c r="U71" i="12"/>
  <c r="Y93" i="12"/>
  <c r="Y98" i="12"/>
  <c r="AC83" i="12"/>
  <c r="AC71" i="12"/>
  <c r="U80" i="12"/>
  <c r="AE72" i="12"/>
  <c r="Z103" i="12"/>
  <c r="Z93" i="12"/>
  <c r="Z74" i="12"/>
  <c r="Z94" i="12"/>
  <c r="Z101" i="12"/>
  <c r="Z100" i="12"/>
  <c r="Z80" i="12"/>
  <c r="Z97" i="12"/>
  <c r="Z70" i="12"/>
  <c r="Z66" i="12"/>
  <c r="Z95" i="12"/>
  <c r="Z85" i="12"/>
  <c r="Z81" i="12"/>
  <c r="Z83" i="12"/>
  <c r="Z40" i="12"/>
  <c r="Z88" i="12" s="1"/>
  <c r="B42" i="12"/>
  <c r="I42" i="12"/>
  <c r="I58" i="12" s="1"/>
  <c r="I106" i="12" s="1"/>
  <c r="I88" i="12"/>
  <c r="P42" i="12"/>
  <c r="P58" i="12" s="1"/>
  <c r="P106" i="12" s="1"/>
  <c r="P88" i="12"/>
  <c r="P57" i="12"/>
  <c r="P105" i="12"/>
  <c r="AE88" i="12"/>
  <c r="G83" i="12"/>
  <c r="AH103" i="12"/>
  <c r="P83" i="12"/>
  <c r="AH98" i="12"/>
  <c r="U75" i="12"/>
  <c r="AE94" i="12"/>
  <c r="AE71" i="12"/>
  <c r="AE100" i="12"/>
  <c r="AE87" i="12"/>
  <c r="AE103" i="12"/>
  <c r="AE93" i="12"/>
  <c r="AE80" i="12"/>
  <c r="AE82" i="12"/>
  <c r="AE86" i="12"/>
  <c r="AE78" i="12"/>
  <c r="AI57" i="12"/>
  <c r="AI105" i="12" s="1"/>
  <c r="Y73" i="12"/>
  <c r="AE65" i="12"/>
  <c r="H65" i="12"/>
  <c r="V83" i="12"/>
  <c r="AC80" i="12"/>
  <c r="W81" i="12"/>
  <c r="W78" i="12"/>
  <c r="W77" i="12"/>
  <c r="V99" i="12"/>
  <c r="P94" i="12"/>
  <c r="AC86" i="12"/>
  <c r="V79" i="12"/>
  <c r="V96" i="12"/>
  <c r="H68" i="12"/>
  <c r="H67" i="12"/>
  <c r="B79" i="12"/>
  <c r="P100" i="12"/>
  <c r="P81" i="12"/>
  <c r="P74" i="12"/>
  <c r="AH89" i="12"/>
  <c r="AH76" i="12"/>
  <c r="U88" i="12"/>
  <c r="Y77" i="12"/>
  <c r="B74" i="12"/>
  <c r="U68" i="12"/>
  <c r="V88" i="12"/>
  <c r="Y101" i="12"/>
  <c r="W66" i="12"/>
  <c r="G88" i="12"/>
  <c r="W75" i="12"/>
  <c r="U86" i="12"/>
  <c r="AE98" i="12"/>
  <c r="T93" i="12"/>
  <c r="T72" i="12"/>
  <c r="T63" i="12"/>
  <c r="T73" i="12"/>
  <c r="T64" i="12"/>
  <c r="T81" i="12"/>
  <c r="T74" i="12"/>
  <c r="T101" i="12"/>
  <c r="T70" i="12"/>
  <c r="AA95" i="12"/>
  <c r="AA96" i="12"/>
  <c r="AA94" i="12"/>
  <c r="AA81" i="12"/>
  <c r="AA70" i="12"/>
  <c r="AA77" i="12"/>
  <c r="AA98" i="12"/>
  <c r="AA101" i="12"/>
  <c r="AA67" i="12"/>
  <c r="AA69" i="12"/>
  <c r="AA79" i="12"/>
  <c r="AA78" i="12"/>
  <c r="AA87" i="12"/>
  <c r="AA63" i="12"/>
  <c r="AA68" i="12"/>
  <c r="AA83" i="12"/>
  <c r="AH96" i="12"/>
  <c r="D58" i="12"/>
  <c r="D106" i="12"/>
  <c r="D90" i="12"/>
  <c r="J90" i="12"/>
  <c r="Q57" i="12"/>
  <c r="Q105" i="12" s="1"/>
  <c r="Q88" i="12"/>
  <c r="AE90" i="12"/>
  <c r="AE58" i="12"/>
  <c r="AE106" i="12" s="1"/>
  <c r="AA99" i="12"/>
  <c r="Q76" i="12"/>
  <c r="Q83" i="12"/>
  <c r="T98" i="12"/>
  <c r="R77" i="12"/>
  <c r="X88" i="12"/>
  <c r="AF69" i="12"/>
  <c r="AJ75" i="12"/>
  <c r="X93" i="12"/>
  <c r="AG65" i="12"/>
  <c r="AJ93" i="12"/>
  <c r="D68" i="12"/>
  <c r="AJ76" i="12"/>
  <c r="D77" i="12"/>
  <c r="I90" i="11"/>
  <c r="J68" i="11"/>
  <c r="X63" i="11"/>
  <c r="J76" i="11"/>
  <c r="X85" i="11"/>
  <c r="U42" i="11"/>
  <c r="U57" i="11"/>
  <c r="U105" i="11" s="1"/>
  <c r="Q58" i="11"/>
  <c r="Q106" i="11" s="1"/>
  <c r="X71" i="11"/>
  <c r="J97" i="11"/>
  <c r="H90" i="11"/>
  <c r="H58" i="11"/>
  <c r="H106" i="11" s="1"/>
  <c r="J89" i="11"/>
  <c r="X95" i="11"/>
  <c r="X66" i="11"/>
  <c r="X94" i="11"/>
  <c r="X74" i="11"/>
  <c r="X65" i="11"/>
  <c r="X87" i="11"/>
  <c r="X77" i="11"/>
  <c r="X81" i="11"/>
  <c r="X75" i="11"/>
  <c r="X70" i="11"/>
  <c r="X67" i="11"/>
  <c r="X89" i="11"/>
  <c r="X68" i="11"/>
  <c r="X76" i="11"/>
  <c r="X96" i="11"/>
  <c r="X101" i="11"/>
  <c r="X64" i="11"/>
  <c r="X78" i="11"/>
  <c r="X86" i="11"/>
  <c r="X69" i="11"/>
  <c r="X72" i="11"/>
  <c r="X80" i="11"/>
  <c r="X82" i="11"/>
  <c r="X88" i="11"/>
  <c r="X93" i="11"/>
  <c r="X73" i="11"/>
  <c r="X83" i="11"/>
  <c r="C90" i="11"/>
  <c r="J98" i="11"/>
  <c r="J71" i="11"/>
  <c r="J101" i="11"/>
  <c r="J74" i="11"/>
  <c r="J81" i="11"/>
  <c r="J63" i="11"/>
  <c r="J70" i="11"/>
  <c r="J93" i="11"/>
  <c r="J65" i="11"/>
  <c r="J88" i="11"/>
  <c r="J73" i="11"/>
  <c r="J95" i="11"/>
  <c r="J99" i="11" s="1"/>
  <c r="J82" i="11"/>
  <c r="J67" i="11"/>
  <c r="J75" i="11"/>
  <c r="J85" i="11"/>
  <c r="J96" i="11"/>
  <c r="J72" i="11"/>
  <c r="J86" i="11"/>
  <c r="J77" i="11"/>
  <c r="J80" i="11"/>
  <c r="I88" i="11"/>
  <c r="Q97" i="11"/>
  <c r="Q51" i="11"/>
  <c r="Q57" i="11"/>
  <c r="Q105" i="11" s="1"/>
  <c r="J83" i="11"/>
  <c r="J78" i="11"/>
  <c r="J87" i="11"/>
  <c r="T99" i="11"/>
  <c r="O58" i="11"/>
  <c r="O106" i="11" s="1"/>
  <c r="J66" i="11"/>
  <c r="H88" i="11"/>
  <c r="H97" i="11"/>
  <c r="H83" i="11"/>
  <c r="H98" i="11"/>
  <c r="H74" i="11"/>
  <c r="H95" i="11"/>
  <c r="H66" i="11"/>
  <c r="H93" i="11"/>
  <c r="H64" i="11"/>
  <c r="H85" i="11"/>
  <c r="H72" i="11"/>
  <c r="H63" i="11"/>
  <c r="H68" i="11"/>
  <c r="H69" i="11"/>
  <c r="H82" i="11"/>
  <c r="H76" i="11"/>
  <c r="H65" i="11"/>
  <c r="H79" i="11"/>
  <c r="H70" i="11"/>
  <c r="H101" i="11"/>
  <c r="H71" i="11"/>
  <c r="H78" i="11"/>
  <c r="H73" i="11"/>
  <c r="H87" i="11"/>
  <c r="H80" i="11"/>
  <c r="H75" i="11"/>
  <c r="H96" i="11"/>
  <c r="U83" i="11"/>
  <c r="U82" i="11"/>
  <c r="U79" i="11"/>
  <c r="U70" i="11"/>
  <c r="U95" i="11"/>
  <c r="U66" i="11"/>
  <c r="R88" i="11"/>
  <c r="P97" i="11"/>
  <c r="Y80" i="11"/>
  <c r="M83" i="11"/>
  <c r="M72" i="11"/>
  <c r="Y97" i="11"/>
  <c r="P63" i="11"/>
  <c r="U81" i="11"/>
  <c r="U73" i="11"/>
  <c r="P83" i="11"/>
  <c r="E78" i="11"/>
  <c r="E101" i="11"/>
  <c r="E63" i="11"/>
  <c r="E94" i="11"/>
  <c r="E99" i="11" s="1"/>
  <c r="E96" i="11"/>
  <c r="E97" i="11"/>
  <c r="E76" i="11"/>
  <c r="E74" i="11"/>
  <c r="W58" i="11"/>
  <c r="W106" i="11"/>
  <c r="K65" i="11"/>
  <c r="P101" i="11"/>
  <c r="Y81" i="11"/>
  <c r="Y87" i="11"/>
  <c r="M93" i="11"/>
  <c r="M75" i="11"/>
  <c r="M73" i="11"/>
  <c r="E79" i="11"/>
  <c r="E69" i="11"/>
  <c r="U76" i="11"/>
  <c r="Y68" i="11"/>
  <c r="K95" i="11"/>
  <c r="K89" i="11"/>
  <c r="Y82" i="11"/>
  <c r="U71" i="11"/>
  <c r="K63" i="11"/>
  <c r="K72" i="11"/>
  <c r="L83" i="11"/>
  <c r="L76" i="11"/>
  <c r="L63" i="11"/>
  <c r="L88" i="11"/>
  <c r="L85" i="11"/>
  <c r="L80" i="11"/>
  <c r="L75" i="11"/>
  <c r="L73" i="11"/>
  <c r="L101" i="11"/>
  <c r="L77" i="11"/>
  <c r="Q66" i="11"/>
  <c r="Q93" i="11"/>
  <c r="Q86" i="11"/>
  <c r="Q103" i="11"/>
  <c r="Q74" i="11"/>
  <c r="Q81" i="11"/>
  <c r="Q80" i="11"/>
  <c r="Q89" i="11"/>
  <c r="Q79" i="11"/>
  <c r="V96" i="11"/>
  <c r="V87" i="11"/>
  <c r="V79" i="11"/>
  <c r="V75" i="11"/>
  <c r="V86" i="11"/>
  <c r="V78" i="11"/>
  <c r="V71" i="11"/>
  <c r="V98" i="11"/>
  <c r="F57" i="11"/>
  <c r="F105" i="11"/>
  <c r="P77" i="11"/>
  <c r="K68" i="11"/>
  <c r="P86" i="11"/>
  <c r="Y78" i="11"/>
  <c r="Y83" i="11"/>
  <c r="M101" i="11"/>
  <c r="M67" i="11"/>
  <c r="E103" i="11"/>
  <c r="E68" i="11"/>
  <c r="E87" i="11"/>
  <c r="R42" i="11"/>
  <c r="U86" i="11"/>
  <c r="U77" i="11"/>
  <c r="U69" i="11"/>
  <c r="P80" i="11"/>
  <c r="U68" i="11"/>
  <c r="F88" i="11"/>
  <c r="Q76" i="11"/>
  <c r="V97" i="11"/>
  <c r="V82" i="11"/>
  <c r="U93" i="11"/>
  <c r="F71" i="11"/>
  <c r="F98" i="11"/>
  <c r="F99" i="11" s="1"/>
  <c r="F86" i="11"/>
  <c r="F78" i="11"/>
  <c r="F83" i="11"/>
  <c r="F77" i="11"/>
  <c r="F70" i="11"/>
  <c r="K88" i="11"/>
  <c r="M82" i="11"/>
  <c r="M81" i="11"/>
  <c r="M94" i="11"/>
  <c r="M89" i="11"/>
  <c r="M74" i="11"/>
  <c r="M64" i="11"/>
  <c r="M69" i="11"/>
  <c r="M71" i="11"/>
  <c r="P81" i="11"/>
  <c r="P73" i="11"/>
  <c r="P75" i="11"/>
  <c r="P96" i="11"/>
  <c r="P64" i="11"/>
  <c r="P93" i="11"/>
  <c r="P98" i="11"/>
  <c r="P82" i="11"/>
  <c r="Y96" i="11"/>
  <c r="Y75" i="11"/>
  <c r="Y86" i="11"/>
  <c r="Y94" i="11"/>
  <c r="M97" i="11"/>
  <c r="Y77" i="11"/>
  <c r="K73" i="11"/>
  <c r="K93" i="11"/>
  <c r="K80" i="11"/>
  <c r="K71" i="11"/>
  <c r="K98" i="11"/>
  <c r="F58" i="11"/>
  <c r="F106" i="11"/>
  <c r="K85" i="11"/>
  <c r="U103" i="11"/>
  <c r="Y89" i="11"/>
  <c r="M80" i="11"/>
  <c r="M85" i="11"/>
  <c r="M70" i="11"/>
  <c r="E82" i="11"/>
  <c r="L93" i="11"/>
  <c r="L99" i="11" s="1"/>
  <c r="L82" i="11"/>
  <c r="M86" i="11"/>
  <c r="U75" i="11"/>
  <c r="K79" i="11"/>
  <c r="Q87" i="11"/>
  <c r="V68" i="11"/>
  <c r="Y85" i="11"/>
  <c r="Q98" i="11"/>
  <c r="V64" i="11"/>
  <c r="V80" i="11"/>
  <c r="V93" i="11"/>
  <c r="U74" i="11"/>
  <c r="B76" i="11"/>
  <c r="B103" i="11"/>
  <c r="B69" i="11"/>
  <c r="B98" i="11"/>
  <c r="B68" i="11"/>
  <c r="B93" i="11"/>
  <c r="B66" i="11"/>
  <c r="B94" i="11"/>
  <c r="B80" i="11"/>
  <c r="G64" i="11"/>
  <c r="N103" i="11"/>
  <c r="N79" i="11"/>
  <c r="N68" i="11"/>
  <c r="N77" i="11"/>
  <c r="N66" i="11"/>
  <c r="N94" i="11"/>
  <c r="N86" i="11"/>
  <c r="N67" i="11"/>
  <c r="N75" i="11"/>
  <c r="N74" i="11"/>
  <c r="N95" i="11"/>
  <c r="R85" i="11"/>
  <c r="R80" i="11"/>
  <c r="R83" i="11"/>
  <c r="R94" i="11"/>
  <c r="R74" i="11"/>
  <c r="R86" i="11"/>
  <c r="R81" i="11"/>
  <c r="P42" i="11"/>
  <c r="P90" i="11" s="1"/>
  <c r="P57" i="11"/>
  <c r="P105" i="11" s="1"/>
  <c r="P88" i="11"/>
  <c r="H58" i="10"/>
  <c r="H106" i="10" s="1"/>
  <c r="H90" i="10"/>
  <c r="E58" i="10"/>
  <c r="Z57" i="10"/>
  <c r="Z105" i="10"/>
  <c r="Z42" i="10"/>
  <c r="M58" i="10"/>
  <c r="M106" i="10"/>
  <c r="M90" i="10"/>
  <c r="W58" i="9"/>
  <c r="W106" i="9" s="1"/>
  <c r="W90" i="9"/>
  <c r="M58" i="9"/>
  <c r="M106" i="9" s="1"/>
  <c r="M90" i="9"/>
  <c r="X99" i="9"/>
  <c r="W99" i="9"/>
  <c r="K90" i="9"/>
  <c r="K58" i="9"/>
  <c r="K106" i="9" s="1"/>
  <c r="U106" i="9"/>
  <c r="U90" i="9"/>
  <c r="C99" i="9"/>
  <c r="J90" i="9"/>
  <c r="J58" i="9"/>
  <c r="J106" i="9" s="1"/>
  <c r="AF99" i="7"/>
  <c r="M99" i="7"/>
  <c r="N58" i="7"/>
  <c r="N106" i="7" s="1"/>
  <c r="I90" i="7"/>
  <c r="I58" i="7"/>
  <c r="I106" i="7" s="1"/>
  <c r="E99" i="7"/>
  <c r="R90" i="7"/>
  <c r="R58" i="7"/>
  <c r="R106" i="7"/>
  <c r="V90" i="7"/>
  <c r="V58" i="7"/>
  <c r="V106" i="7"/>
  <c r="U58" i="7"/>
  <c r="U106" i="7"/>
  <c r="U90" i="7"/>
  <c r="AE90" i="7"/>
  <c r="AE58" i="7"/>
  <c r="AE106" i="7" s="1"/>
  <c r="Z88" i="7"/>
  <c r="Z57" i="7"/>
  <c r="Z105" i="7" s="1"/>
  <c r="W99" i="7"/>
  <c r="N90" i="12"/>
  <c r="N58" i="12"/>
  <c r="N106" i="12"/>
  <c r="I90" i="12"/>
  <c r="W42" i="12"/>
  <c r="W90" i="12" s="1"/>
  <c r="B90" i="12"/>
  <c r="B58" i="12"/>
  <c r="B106" i="12" s="1"/>
  <c r="AM51" i="12"/>
  <c r="B99" i="12"/>
  <c r="B57" i="12"/>
  <c r="B105" i="12" s="1"/>
  <c r="Y57" i="12"/>
  <c r="Y105" i="12" s="1"/>
  <c r="Y88" i="12"/>
  <c r="Y42" i="12"/>
  <c r="Y90" i="12" s="1"/>
  <c r="P58" i="11"/>
  <c r="P106" i="11" s="1"/>
  <c r="E106" i="10"/>
  <c r="Z58" i="10"/>
  <c r="Z106" i="10" s="1"/>
  <c r="Z90" i="7"/>
  <c r="W58" i="12"/>
  <c r="W106" i="12" s="1"/>
  <c r="B105" i="9" l="1"/>
  <c r="P99" i="11"/>
  <c r="R90" i="11"/>
  <c r="W88" i="12"/>
  <c r="W57" i="12"/>
  <c r="W105" i="12" s="1"/>
  <c r="E90" i="7"/>
  <c r="E58" i="7"/>
  <c r="E106" i="7" s="1"/>
  <c r="AF40" i="9"/>
  <c r="P42" i="10"/>
  <c r="P88" i="10"/>
  <c r="P57" i="10"/>
  <c r="P105" i="10" s="1"/>
  <c r="U99" i="10"/>
  <c r="B105" i="10"/>
  <c r="N42" i="10"/>
  <c r="N88" i="10"/>
  <c r="N57" i="10"/>
  <c r="N105" i="10" s="1"/>
  <c r="C88" i="12"/>
  <c r="C42" i="12"/>
  <c r="C57" i="12"/>
  <c r="X42" i="9"/>
  <c r="AA90" i="10"/>
  <c r="Y99" i="11"/>
  <c r="L99" i="7"/>
  <c r="D99" i="7"/>
  <c r="X88" i="9"/>
  <c r="M99" i="11"/>
  <c r="B99" i="10"/>
  <c r="AC42" i="7"/>
  <c r="AC57" i="7"/>
  <c r="AC105" i="7" s="1"/>
  <c r="G88" i="9"/>
  <c r="G42" i="9"/>
  <c r="K88" i="10"/>
  <c r="K42" i="10"/>
  <c r="K57" i="10"/>
  <c r="K105" i="10" s="1"/>
  <c r="C106" i="10"/>
  <c r="T90" i="10"/>
  <c r="T58" i="10"/>
  <c r="T106" i="10" s="1"/>
  <c r="AA47" i="11"/>
  <c r="M51" i="11"/>
  <c r="M58" i="11" s="1"/>
  <c r="M106" i="11" s="1"/>
  <c r="M95" i="11"/>
  <c r="AA49" i="11"/>
  <c r="R51" i="11"/>
  <c r="R57" i="11" s="1"/>
  <c r="R105" i="11" s="1"/>
  <c r="R97" i="11"/>
  <c r="AD90" i="7"/>
  <c r="AD58" i="7"/>
  <c r="AD106" i="7" s="1"/>
  <c r="AC42" i="10"/>
  <c r="AC57" i="10"/>
  <c r="AC105" i="10" s="1"/>
  <c r="AC88" i="10"/>
  <c r="D90" i="10"/>
  <c r="D58" i="10"/>
  <c r="D106" i="10" s="1"/>
  <c r="X87" i="7"/>
  <c r="X94" i="7"/>
  <c r="X63" i="7"/>
  <c r="X100" i="7"/>
  <c r="X95" i="7"/>
  <c r="X96" i="7"/>
  <c r="X88" i="7"/>
  <c r="X82" i="7"/>
  <c r="X97" i="7"/>
  <c r="X83" i="7"/>
  <c r="X89" i="7"/>
  <c r="X86" i="7"/>
  <c r="X64" i="7"/>
  <c r="X70" i="7"/>
  <c r="X75" i="7"/>
  <c r="X80" i="7"/>
  <c r="X77" i="7"/>
  <c r="X71" i="7"/>
  <c r="X73" i="7"/>
  <c r="X74" i="7"/>
  <c r="X90" i="7"/>
  <c r="X67" i="7"/>
  <c r="X69" i="7"/>
  <c r="X101" i="7"/>
  <c r="X103" i="7"/>
  <c r="X93" i="7"/>
  <c r="X85" i="7"/>
  <c r="X72" i="7"/>
  <c r="X68" i="7"/>
  <c r="X81" i="7"/>
  <c r="X66" i="7"/>
  <c r="X78" i="7"/>
  <c r="X98" i="7"/>
  <c r="X79" i="7"/>
  <c r="AH40" i="7"/>
  <c r="B57" i="7"/>
  <c r="B88" i="7"/>
  <c r="B42" i="7"/>
  <c r="AF99" i="12"/>
  <c r="AF57" i="12"/>
  <c r="AF105" i="12" s="1"/>
  <c r="P90" i="12"/>
  <c r="R99" i="11"/>
  <c r="F90" i="10"/>
  <c r="V58" i="10"/>
  <c r="V106" i="10" s="1"/>
  <c r="AA99" i="9"/>
  <c r="D99" i="9"/>
  <c r="I58" i="10"/>
  <c r="I106" i="10" s="1"/>
  <c r="Q90" i="9"/>
  <c r="Q58" i="9"/>
  <c r="Q106" i="9" s="1"/>
  <c r="AA90" i="12"/>
  <c r="P99" i="10"/>
  <c r="U90" i="11"/>
  <c r="U58" i="11"/>
  <c r="U106" i="11" s="1"/>
  <c r="Y90" i="7"/>
  <c r="Y58" i="7"/>
  <c r="Y106" i="7" s="1"/>
  <c r="AC99" i="10"/>
  <c r="D99" i="10"/>
  <c r="H99" i="10"/>
  <c r="Z89" i="10"/>
  <c r="Z78" i="10"/>
  <c r="Z71" i="10"/>
  <c r="Z70" i="10"/>
  <c r="Z94" i="10"/>
  <c r="Z73" i="10"/>
  <c r="Z79" i="10"/>
  <c r="Z77" i="10"/>
  <c r="Z96" i="10"/>
  <c r="Z85" i="10"/>
  <c r="Z68" i="10"/>
  <c r="Z76" i="10"/>
  <c r="Z64" i="10"/>
  <c r="S97" i="11"/>
  <c r="S99" i="11" s="1"/>
  <c r="S51" i="11"/>
  <c r="S57" i="11" s="1"/>
  <c r="S105" i="11" s="1"/>
  <c r="S90" i="12"/>
  <c r="S58" i="12"/>
  <c r="S106" i="12" s="1"/>
  <c r="Z42" i="12"/>
  <c r="E90" i="10"/>
  <c r="Z81" i="10"/>
  <c r="Z69" i="10"/>
  <c r="E76" i="10"/>
  <c r="E98" i="10"/>
  <c r="G90" i="11"/>
  <c r="I105" i="7"/>
  <c r="W106" i="7"/>
  <c r="U80" i="10"/>
  <c r="U74" i="10"/>
  <c r="U68" i="10"/>
  <c r="U98" i="10"/>
  <c r="G105" i="11"/>
  <c r="N57" i="11"/>
  <c r="N105" i="11" s="1"/>
  <c r="N42" i="11"/>
  <c r="V58" i="11"/>
  <c r="V106" i="11" s="1"/>
  <c r="V90" i="11"/>
  <c r="W99" i="11"/>
  <c r="E89" i="10"/>
  <c r="E69" i="10"/>
  <c r="E85" i="10"/>
  <c r="E80" i="10"/>
  <c r="E94" i="10"/>
  <c r="E71" i="10"/>
  <c r="E101" i="10"/>
  <c r="E96" i="10"/>
  <c r="E67" i="10"/>
  <c r="E73" i="10"/>
  <c r="E95" i="10"/>
  <c r="E86" i="10"/>
  <c r="E63" i="10"/>
  <c r="E93" i="10"/>
  <c r="E68" i="10"/>
  <c r="E72" i="10"/>
  <c r="E65" i="10"/>
  <c r="E70" i="10"/>
  <c r="E97" i="10"/>
  <c r="Y58" i="12"/>
  <c r="Y106" i="12" s="1"/>
  <c r="Z57" i="12"/>
  <c r="Z105" i="12" s="1"/>
  <c r="G75" i="11"/>
  <c r="T57" i="7"/>
  <c r="T105" i="7" s="1"/>
  <c r="D57" i="9"/>
  <c r="D105" i="9" s="1"/>
  <c r="Y58" i="9"/>
  <c r="Y106" i="9" s="1"/>
  <c r="E87" i="10"/>
  <c r="Z97" i="10"/>
  <c r="Z86" i="10"/>
  <c r="Z74" i="10"/>
  <c r="Z72" i="10"/>
  <c r="E81" i="10"/>
  <c r="L58" i="12"/>
  <c r="L106" i="12" s="1"/>
  <c r="B40" i="11"/>
  <c r="O57" i="7"/>
  <c r="O105" i="7" s="1"/>
  <c r="O42" i="7"/>
  <c r="W57" i="10"/>
  <c r="W105" i="10" s="1"/>
  <c r="W42" i="10"/>
  <c r="W88" i="10"/>
  <c r="H67" i="11"/>
  <c r="H94" i="11"/>
  <c r="H99" i="11" s="1"/>
  <c r="H103" i="11"/>
  <c r="H86" i="11"/>
  <c r="H89" i="11"/>
  <c r="N85" i="11"/>
  <c r="N63" i="11"/>
  <c r="N65" i="11"/>
  <c r="N83" i="11"/>
  <c r="N73" i="11"/>
  <c r="N76" i="11"/>
  <c r="N101" i="11"/>
  <c r="N78" i="11"/>
  <c r="N69" i="11"/>
  <c r="N93" i="11"/>
  <c r="N96" i="11"/>
  <c r="N72" i="11"/>
  <c r="N70" i="11"/>
  <c r="N87" i="11"/>
  <c r="N98" i="11"/>
  <c r="D40" i="11"/>
  <c r="D83" i="11"/>
  <c r="I58" i="11"/>
  <c r="I106" i="11" s="1"/>
  <c r="X42" i="11"/>
  <c r="X57" i="11"/>
  <c r="X105" i="11" s="1"/>
  <c r="T40" i="12"/>
  <c r="T83" i="12"/>
  <c r="AH51" i="7"/>
  <c r="AE99" i="12"/>
  <c r="AE57" i="12"/>
  <c r="AE105" i="12" s="1"/>
  <c r="D58" i="9"/>
  <c r="D106" i="9" s="1"/>
  <c r="D90" i="9"/>
  <c r="G103" i="11"/>
  <c r="G67" i="11"/>
  <c r="G79" i="11"/>
  <c r="G101" i="11"/>
  <c r="G70" i="11"/>
  <c r="G96" i="11"/>
  <c r="G87" i="11"/>
  <c r="G88" i="11"/>
  <c r="G86" i="11"/>
  <c r="G85" i="11"/>
  <c r="G73" i="11"/>
  <c r="G63" i="11"/>
  <c r="G71" i="11"/>
  <c r="G69" i="11"/>
  <c r="G94" i="11"/>
  <c r="G65" i="11"/>
  <c r="G93" i="11"/>
  <c r="G99" i="11" s="1"/>
  <c r="G80" i="11"/>
  <c r="G74" i="11"/>
  <c r="G97" i="11"/>
  <c r="T90" i="7"/>
  <c r="E58" i="9"/>
  <c r="E106" i="9" s="1"/>
  <c r="Q57" i="10"/>
  <c r="Q105" i="10" s="1"/>
  <c r="E74" i="10"/>
  <c r="Z93" i="10"/>
  <c r="Z99" i="10" s="1"/>
  <c r="Z82" i="10"/>
  <c r="E78" i="10"/>
  <c r="G77" i="11"/>
  <c r="D66" i="7"/>
  <c r="D83" i="7"/>
  <c r="D100" i="7"/>
  <c r="D85" i="7"/>
  <c r="D101" i="7"/>
  <c r="D75" i="7"/>
  <c r="D64" i="7"/>
  <c r="D78" i="7"/>
  <c r="D69" i="7"/>
  <c r="D94" i="7"/>
  <c r="D82" i="7"/>
  <c r="I96" i="7"/>
  <c r="I86" i="7"/>
  <c r="I69" i="7"/>
  <c r="I83" i="7"/>
  <c r="I66" i="7"/>
  <c r="I82" i="7"/>
  <c r="I98" i="7"/>
  <c r="I103" i="7"/>
  <c r="I74" i="7"/>
  <c r="I100" i="7"/>
  <c r="I68" i="7"/>
  <c r="I75" i="7"/>
  <c r="I89" i="7"/>
  <c r="I85" i="7"/>
  <c r="I65" i="7"/>
  <c r="I64" i="7"/>
  <c r="I72" i="7"/>
  <c r="I63" i="7"/>
  <c r="I95" i="7"/>
  <c r="I99" i="7" s="1"/>
  <c r="U76" i="7"/>
  <c r="U71" i="7"/>
  <c r="U97" i="7"/>
  <c r="U74" i="7"/>
  <c r="U89" i="7"/>
  <c r="U80" i="7"/>
  <c r="U93" i="7"/>
  <c r="U99" i="7" s="1"/>
  <c r="U72" i="7"/>
  <c r="U101" i="7"/>
  <c r="S57" i="7"/>
  <c r="S105" i="7" s="1"/>
  <c r="S42" i="7"/>
  <c r="F88" i="7"/>
  <c r="F42" i="7"/>
  <c r="Q65" i="10"/>
  <c r="Q71" i="10"/>
  <c r="Q83" i="10"/>
  <c r="Q97" i="10"/>
  <c r="Q99" i="10" s="1"/>
  <c r="Q74" i="10"/>
  <c r="Q96" i="10"/>
  <c r="Q69" i="10"/>
  <c r="S88" i="10"/>
  <c r="S57" i="10"/>
  <c r="S105" i="10" s="1"/>
  <c r="X88" i="10"/>
  <c r="X42" i="10"/>
  <c r="X57" i="10"/>
  <c r="X105" i="10" s="1"/>
  <c r="B87" i="11"/>
  <c r="B65" i="11"/>
  <c r="B79" i="11"/>
  <c r="B64" i="11"/>
  <c r="B78" i="11"/>
  <c r="B82" i="11"/>
  <c r="B71" i="11"/>
  <c r="B70" i="11"/>
  <c r="B74" i="11"/>
  <c r="B72" i="11"/>
  <c r="B81" i="11"/>
  <c r="B96" i="11"/>
  <c r="B86" i="11"/>
  <c r="B97" i="11"/>
  <c r="B67" i="11"/>
  <c r="B77" i="11"/>
  <c r="B89" i="11"/>
  <c r="B101" i="11"/>
  <c r="B95" i="11"/>
  <c r="J57" i="11"/>
  <c r="J105" i="11" s="1"/>
  <c r="J42" i="11"/>
  <c r="AA35" i="11"/>
  <c r="T96" i="12"/>
  <c r="T85" i="12"/>
  <c r="T69" i="12"/>
  <c r="T68" i="12"/>
  <c r="T86" i="12"/>
  <c r="T76" i="12"/>
  <c r="T82" i="12"/>
  <c r="T77" i="12"/>
  <c r="T67" i="12"/>
  <c r="T94" i="12"/>
  <c r="T75" i="12"/>
  <c r="T97" i="12"/>
  <c r="T87" i="12"/>
  <c r="T89" i="12"/>
  <c r="Z99" i="12"/>
  <c r="Z87" i="12"/>
  <c r="Z67" i="12"/>
  <c r="Z64" i="12"/>
  <c r="Z73" i="12"/>
  <c r="Z71" i="12"/>
  <c r="Z65" i="12"/>
  <c r="Z63" i="12"/>
  <c r="Z98" i="12"/>
  <c r="Z82" i="12"/>
  <c r="Z77" i="12"/>
  <c r="Z86" i="12"/>
  <c r="Z76" i="12"/>
  <c r="Z78" i="12"/>
  <c r="AD57" i="10"/>
  <c r="AD105" i="10" s="1"/>
  <c r="X105" i="7"/>
  <c r="G83" i="11"/>
  <c r="E105" i="10"/>
  <c r="AF9" i="10"/>
  <c r="E64" i="10"/>
  <c r="C99" i="10"/>
  <c r="Z80" i="10"/>
  <c r="Z103" i="10"/>
  <c r="K99" i="10"/>
  <c r="Z63" i="10"/>
  <c r="E66" i="10"/>
  <c r="E83" i="10"/>
  <c r="J99" i="9"/>
  <c r="AA58" i="7"/>
  <c r="AA106" i="7" s="1"/>
  <c r="AA90" i="7"/>
  <c r="G106" i="11"/>
  <c r="G66" i="11"/>
  <c r="W101" i="7"/>
  <c r="W100" i="7"/>
  <c r="W103" i="7"/>
  <c r="W86" i="7"/>
  <c r="W63" i="7"/>
  <c r="W87" i="7"/>
  <c r="W88" i="7"/>
  <c r="W76" i="7"/>
  <c r="W69" i="7"/>
  <c r="W66" i="7"/>
  <c r="W72" i="7"/>
  <c r="P103" i="7"/>
  <c r="P67" i="7"/>
  <c r="P106" i="7"/>
  <c r="P89" i="7"/>
  <c r="P64" i="7"/>
  <c r="P83" i="7"/>
  <c r="P90" i="7"/>
  <c r="P95" i="7"/>
  <c r="P99" i="7" s="1"/>
  <c r="P73" i="7"/>
  <c r="P71" i="7"/>
  <c r="P88" i="7"/>
  <c r="P68" i="7"/>
  <c r="P96" i="7"/>
  <c r="AA88" i="9"/>
  <c r="AA42" i="9"/>
  <c r="C80" i="11"/>
  <c r="C103" i="11"/>
  <c r="C73" i="11"/>
  <c r="C78" i="11"/>
  <c r="C87" i="11"/>
  <c r="C64" i="11"/>
  <c r="C79" i="11"/>
  <c r="C98" i="11"/>
  <c r="C70" i="11"/>
  <c r="C75" i="11"/>
  <c r="C88" i="11"/>
  <c r="C76" i="11"/>
  <c r="C66" i="11"/>
  <c r="C71" i="11"/>
  <c r="C95" i="11"/>
  <c r="C65" i="11"/>
  <c r="C82" i="11"/>
  <c r="C85" i="11"/>
  <c r="C89" i="11"/>
  <c r="C74" i="11"/>
  <c r="C86" i="11"/>
  <c r="C93" i="11"/>
  <c r="C72" i="11"/>
  <c r="C94" i="11"/>
  <c r="C77" i="11"/>
  <c r="C67" i="11"/>
  <c r="C63" i="11"/>
  <c r="X98" i="11"/>
  <c r="X99" i="11" s="1"/>
  <c r="X79" i="11"/>
  <c r="X103" i="11"/>
  <c r="Z90" i="10"/>
  <c r="Z88" i="10"/>
  <c r="G72" i="11"/>
  <c r="AA9" i="11"/>
  <c r="E88" i="10"/>
  <c r="Z67" i="10"/>
  <c r="Z75" i="10"/>
  <c r="T99" i="10"/>
  <c r="V99" i="10"/>
  <c r="D88" i="9"/>
  <c r="G78" i="11"/>
  <c r="G76" i="11"/>
  <c r="AB86" i="7"/>
  <c r="AB64" i="7"/>
  <c r="AB96" i="7"/>
  <c r="AB101" i="7"/>
  <c r="AB76" i="7"/>
  <c r="AB85" i="7"/>
  <c r="AB80" i="7"/>
  <c r="AB75" i="7"/>
  <c r="AB77" i="7"/>
  <c r="AB88" i="7"/>
  <c r="AB74" i="7"/>
  <c r="AB95" i="7"/>
  <c r="J40" i="10"/>
  <c r="J83" i="10"/>
  <c r="L67" i="12"/>
  <c r="L77" i="12"/>
  <c r="L89" i="12"/>
  <c r="L72" i="12"/>
  <c r="L63" i="12"/>
  <c r="L78" i="12"/>
  <c r="L70" i="12"/>
  <c r="L103" i="12"/>
  <c r="L81" i="12"/>
  <c r="L73" i="12"/>
  <c r="L82" i="12"/>
  <c r="L94" i="12"/>
  <c r="L85" i="12"/>
  <c r="L71" i="12"/>
  <c r="L98" i="12"/>
  <c r="B99" i="7"/>
  <c r="V97" i="7"/>
  <c r="V101" i="7"/>
  <c r="V67" i="7"/>
  <c r="V93" i="7"/>
  <c r="V80" i="7"/>
  <c r="V68" i="7"/>
  <c r="I72" i="11"/>
  <c r="I82" i="11"/>
  <c r="I71" i="11"/>
  <c r="I74" i="11"/>
  <c r="I65" i="11"/>
  <c r="I78" i="11"/>
  <c r="E40" i="11"/>
  <c r="E83" i="11"/>
  <c r="V95" i="11"/>
  <c r="V99" i="11" s="1"/>
  <c r="I97" i="11"/>
  <c r="I99" i="11" s="1"/>
  <c r="G80" i="12"/>
  <c r="G89" i="12"/>
  <c r="O57" i="9"/>
  <c r="O105" i="9" s="1"/>
  <c r="AD42" i="9"/>
  <c r="Y58" i="11"/>
  <c r="Y106" i="11" s="1"/>
  <c r="AC82" i="10"/>
  <c r="AC74" i="10"/>
  <c r="K58" i="11"/>
  <c r="K106" i="11" s="1"/>
  <c r="C97" i="11"/>
  <c r="C51" i="11"/>
  <c r="K51" i="11"/>
  <c r="K97" i="11"/>
  <c r="K99" i="11" s="1"/>
  <c r="Q96" i="12"/>
  <c r="Q73" i="12"/>
  <c r="Z69" i="7"/>
  <c r="Z98" i="7"/>
  <c r="Z99" i="7" s="1"/>
  <c r="Z101" i="7"/>
  <c r="H66" i="10"/>
  <c r="H103" i="10"/>
  <c r="U96" i="11"/>
  <c r="U65" i="11"/>
  <c r="U97" i="11"/>
  <c r="U63" i="11"/>
  <c r="U101" i="11"/>
  <c r="U64" i="11"/>
  <c r="U94" i="11"/>
  <c r="U99" i="11" s="1"/>
  <c r="U72" i="11"/>
  <c r="U67" i="11"/>
  <c r="K57" i="11"/>
  <c r="K105" i="11" s="1"/>
  <c r="C65" i="7"/>
  <c r="C77" i="7"/>
  <c r="M69" i="7"/>
  <c r="M71" i="7"/>
  <c r="M70" i="7"/>
  <c r="Q88" i="10"/>
  <c r="S42" i="11"/>
  <c r="S88" i="11"/>
  <c r="G99" i="10"/>
  <c r="D58" i="7"/>
  <c r="D106" i="7" s="1"/>
  <c r="D90" i="7"/>
  <c r="Q75" i="11"/>
  <c r="Q101" i="11"/>
  <c r="Q73" i="11"/>
  <c r="Q65" i="11"/>
  <c r="Q96" i="11"/>
  <c r="Q99" i="11" s="1"/>
  <c r="Q70" i="11"/>
  <c r="Q67" i="11"/>
  <c r="V103" i="11"/>
  <c r="V101" i="11"/>
  <c r="V67" i="11"/>
  <c r="V63" i="11"/>
  <c r="V81" i="11"/>
  <c r="V72" i="11"/>
  <c r="V73" i="11"/>
  <c r="V85" i="11"/>
  <c r="V69" i="11"/>
  <c r="T90" i="11"/>
  <c r="T58" i="11"/>
  <c r="T106" i="11" s="1"/>
  <c r="Y67" i="12"/>
  <c r="Y66" i="12"/>
  <c r="F57" i="12"/>
  <c r="F105" i="12" s="1"/>
  <c r="F42" i="12"/>
  <c r="AH106" i="12"/>
  <c r="AA20" i="11"/>
  <c r="AA75" i="12"/>
  <c r="AG40" i="12"/>
  <c r="AJ86" i="12"/>
  <c r="F42" i="9"/>
  <c r="R42" i="9"/>
  <c r="X71" i="12"/>
  <c r="AH57" i="12"/>
  <c r="AH105" i="12" s="1"/>
  <c r="AJ96" i="12"/>
  <c r="B42" i="11" l="1"/>
  <c r="B88" i="11"/>
  <c r="B57" i="11"/>
  <c r="AA40" i="11"/>
  <c r="C90" i="12"/>
  <c r="C58" i="12"/>
  <c r="M57" i="11"/>
  <c r="M105" i="11" s="1"/>
  <c r="X58" i="10"/>
  <c r="X106" i="10" s="1"/>
  <c r="X90" i="10"/>
  <c r="T42" i="12"/>
  <c r="AM42" i="12" s="1"/>
  <c r="T57" i="12"/>
  <c r="T105" i="12" s="1"/>
  <c r="T88" i="12"/>
  <c r="AH57" i="7"/>
  <c r="B105" i="7"/>
  <c r="AC90" i="10"/>
  <c r="AC58" i="10"/>
  <c r="AC106" i="10" s="1"/>
  <c r="K58" i="10"/>
  <c r="K106" i="10" s="1"/>
  <c r="K90" i="10"/>
  <c r="AM40" i="12"/>
  <c r="R58" i="11"/>
  <c r="R106" i="11" s="1"/>
  <c r="C58" i="11"/>
  <c r="C106" i="11" s="1"/>
  <c r="C57" i="11"/>
  <c r="C105" i="11" s="1"/>
  <c r="AA51" i="11"/>
  <c r="J42" i="10"/>
  <c r="AF40" i="10"/>
  <c r="J57" i="10"/>
  <c r="J88" i="10"/>
  <c r="J58" i="11"/>
  <c r="J106" i="11" s="1"/>
  <c r="J90" i="11"/>
  <c r="X58" i="11"/>
  <c r="X106" i="11" s="1"/>
  <c r="X90" i="11"/>
  <c r="E99" i="10"/>
  <c r="X99" i="7"/>
  <c r="G58" i="9"/>
  <c r="G106" i="9" s="1"/>
  <c r="G90" i="9"/>
  <c r="P58" i="10"/>
  <c r="P106" i="10" s="1"/>
  <c r="P90" i="10"/>
  <c r="R90" i="9"/>
  <c r="R58" i="9"/>
  <c r="R106" i="9" s="1"/>
  <c r="AB99" i="7"/>
  <c r="C99" i="11"/>
  <c r="F90" i="7"/>
  <c r="F58" i="7"/>
  <c r="F106" i="7" s="1"/>
  <c r="N99" i="11"/>
  <c r="W58" i="10"/>
  <c r="W106" i="10" s="1"/>
  <c r="W90" i="10"/>
  <c r="N58" i="11"/>
  <c r="N106" i="11" s="1"/>
  <c r="N90" i="11"/>
  <c r="Z58" i="12"/>
  <c r="Z106" i="12" s="1"/>
  <c r="Z90" i="12"/>
  <c r="F90" i="9"/>
  <c r="F58" i="9"/>
  <c r="F106" i="9" s="1"/>
  <c r="E88" i="11"/>
  <c r="E42" i="11"/>
  <c r="E57" i="11"/>
  <c r="E105" i="11" s="1"/>
  <c r="B99" i="11"/>
  <c r="N58" i="10"/>
  <c r="N106" i="10" s="1"/>
  <c r="N90" i="10"/>
  <c r="F90" i="12"/>
  <c r="F58" i="12"/>
  <c r="F106" i="12" s="1"/>
  <c r="S90" i="11"/>
  <c r="S58" i="11"/>
  <c r="S106" i="11" s="1"/>
  <c r="AD58" i="9"/>
  <c r="AD106" i="9" s="1"/>
  <c r="AD90" i="9"/>
  <c r="V99" i="7"/>
  <c r="S58" i="7"/>
  <c r="S106" i="7" s="1"/>
  <c r="S90" i="7"/>
  <c r="D88" i="11"/>
  <c r="D42" i="11"/>
  <c r="D57" i="11"/>
  <c r="D105" i="11" s="1"/>
  <c r="O90" i="7"/>
  <c r="O58" i="7"/>
  <c r="O106" i="7" s="1"/>
  <c r="AC90" i="7"/>
  <c r="AC58" i="7"/>
  <c r="AC106" i="7" s="1"/>
  <c r="X58" i="9"/>
  <c r="X106" i="9" s="1"/>
  <c r="X90" i="9"/>
  <c r="AF57" i="9"/>
  <c r="AA58" i="9"/>
  <c r="AA106" i="9" s="1"/>
  <c r="AA90" i="9"/>
  <c r="AG42" i="12"/>
  <c r="AG57" i="12"/>
  <c r="AG105" i="12" s="1"/>
  <c r="AG88" i="12"/>
  <c r="AF42" i="9"/>
  <c r="AH42" i="7"/>
  <c r="B90" i="7"/>
  <c r="B58" i="7"/>
  <c r="C105" i="12"/>
  <c r="D90" i="11" l="1"/>
  <c r="D58" i="11"/>
  <c r="D106" i="11" s="1"/>
  <c r="C106" i="12"/>
  <c r="AF58" i="9"/>
  <c r="J105" i="10"/>
  <c r="AF57" i="10"/>
  <c r="T58" i="12"/>
  <c r="T106" i="12" s="1"/>
  <c r="T90" i="12"/>
  <c r="B105" i="11"/>
  <c r="AA57" i="11"/>
  <c r="AH58" i="7"/>
  <c r="B106" i="7"/>
  <c r="E90" i="11"/>
  <c r="E58" i="11"/>
  <c r="E106" i="11" s="1"/>
  <c r="AM57" i="12"/>
  <c r="AG58" i="12"/>
  <c r="AG106" i="12" s="1"/>
  <c r="AG90" i="12"/>
  <c r="J90" i="10"/>
  <c r="J58" i="10"/>
  <c r="AF42" i="10"/>
  <c r="AA42" i="11"/>
  <c r="B58" i="11"/>
  <c r="B90" i="11"/>
  <c r="AM58" i="12" l="1"/>
  <c r="AA58" i="11"/>
  <c r="B106" i="11"/>
  <c r="J106" i="10"/>
  <c r="AF58" i="10"/>
</calcChain>
</file>

<file path=xl/sharedStrings.xml><?xml version="1.0" encoding="utf-8"?>
<sst xmlns="http://schemas.openxmlformats.org/spreadsheetml/2006/main" count="1169" uniqueCount="234">
  <si>
    <t>Issuer</t>
  </si>
  <si>
    <t>Total</t>
  </si>
  <si>
    <t>Bond Issue</t>
  </si>
  <si>
    <t>Pledge</t>
  </si>
  <si>
    <t>New Money</t>
  </si>
  <si>
    <t>Refunding Money</t>
  </si>
  <si>
    <t>Total Issue Size</t>
  </si>
  <si>
    <t>Method of Sale</t>
  </si>
  <si>
    <t>Negotiated</t>
  </si>
  <si>
    <t>Issuance Costs</t>
  </si>
  <si>
    <t>Bond Counsel</t>
  </si>
  <si>
    <t>Financial Advisor</t>
  </si>
  <si>
    <t>Printing</t>
  </si>
  <si>
    <t>Paying Agent</t>
  </si>
  <si>
    <t>Disclosure Counsel</t>
  </si>
  <si>
    <t>Liquidity Provider</t>
  </si>
  <si>
    <t>Liquidity Provider's Counsel</t>
  </si>
  <si>
    <t>Escrow Agent/Trustee</t>
  </si>
  <si>
    <t>Escrow Verification</t>
  </si>
  <si>
    <t>Attorney General</t>
  </si>
  <si>
    <t>Miscellaneous</t>
  </si>
  <si>
    <t>Bond Insurance</t>
  </si>
  <si>
    <t>Underwriter's Counsel</t>
  </si>
  <si>
    <t>Issuance Costs Per $1,000</t>
  </si>
  <si>
    <t>Net Present Value Savings</t>
  </si>
  <si>
    <t>Nominal Savings</t>
  </si>
  <si>
    <t>Trustee</t>
  </si>
  <si>
    <t>Trustee Counsel</t>
  </si>
  <si>
    <t>Private Activity Fee</t>
  </si>
  <si>
    <t>Issuer Fees</t>
  </si>
  <si>
    <t>TEFRA Hearing</t>
  </si>
  <si>
    <t>Co-Bond Counsel</t>
  </si>
  <si>
    <t>Private Placement Counsel</t>
  </si>
  <si>
    <t>Other Costs</t>
  </si>
  <si>
    <t>Total COI</t>
  </si>
  <si>
    <t>Subtotal Comparative COI</t>
  </si>
  <si>
    <t>Total COI &amp; UW's Spread or PP Fees</t>
  </si>
  <si>
    <t>UW's Spread including Counsel</t>
  </si>
  <si>
    <t>Private Placement Fees including Counsel</t>
  </si>
  <si>
    <t>Subtotal Comparative COI Per $1,000</t>
  </si>
  <si>
    <t>Other Cost Per $1,000</t>
  </si>
  <si>
    <t>Total COI Per $1,000</t>
  </si>
  <si>
    <t>UW's Spread including Counsel Per $1,000</t>
  </si>
  <si>
    <t>Private Placement Fees including Counsel Per $1,000</t>
  </si>
  <si>
    <t>Total COI &amp; UW's Spread or PP Fees Per $1,000</t>
  </si>
  <si>
    <t>Total Comparative COI &amp; UW's Spread or PP Fees</t>
  </si>
  <si>
    <t>Total Comparative COI &amp; UW's Spread or PP Fees Per 1,000</t>
  </si>
  <si>
    <t>Closing Date</t>
  </si>
  <si>
    <t>Foreign Liquidity Provider's Counsel</t>
  </si>
  <si>
    <t>Lender Related Costs</t>
  </si>
  <si>
    <t>LOC Fees</t>
  </si>
  <si>
    <t>VLB</t>
  </si>
  <si>
    <t>GO</t>
  </si>
  <si>
    <t xml:space="preserve"> </t>
  </si>
  <si>
    <t>Rating Agencies:</t>
  </si>
  <si>
    <t xml:space="preserve">Moody's </t>
  </si>
  <si>
    <t>Standard and Poor's</t>
  </si>
  <si>
    <t>Fitch</t>
  </si>
  <si>
    <t>Summary of Gross Spread</t>
  </si>
  <si>
    <t>Management Fee</t>
  </si>
  <si>
    <t>Underwriting Risk</t>
  </si>
  <si>
    <t>Takedown</t>
  </si>
  <si>
    <t>Structuring Fee</t>
  </si>
  <si>
    <t>Spread Expenses</t>
  </si>
  <si>
    <t>TAMU</t>
  </si>
  <si>
    <t>TWU</t>
  </si>
  <si>
    <t>TWDB</t>
  </si>
  <si>
    <t>TSAHC</t>
  </si>
  <si>
    <t>TDHCA</t>
  </si>
  <si>
    <t>UTS</t>
  </si>
  <si>
    <t>THECB</t>
  </si>
  <si>
    <t>UHS</t>
  </si>
  <si>
    <t>Co- Financial Advisor</t>
  </si>
  <si>
    <t>Co - Financial Advisor</t>
  </si>
  <si>
    <t>TPFA</t>
  </si>
  <si>
    <t>TSUS</t>
  </si>
  <si>
    <t>UNTS</t>
  </si>
  <si>
    <t>TTC</t>
  </si>
  <si>
    <t>PABST</t>
  </si>
  <si>
    <t>SFA</t>
  </si>
  <si>
    <t>TSTC</t>
  </si>
  <si>
    <t>TPFA-CSFC</t>
  </si>
  <si>
    <t>TTUS</t>
  </si>
  <si>
    <t>GPTC</t>
  </si>
  <si>
    <t>Competitive</t>
  </si>
  <si>
    <t>Private Placement</t>
  </si>
  <si>
    <t>Rev</t>
  </si>
  <si>
    <t>HIGO Ser 2014</t>
  </si>
  <si>
    <t>Ser 2014D</t>
  </si>
  <si>
    <t>Rev Ref Ser 2014</t>
  </si>
  <si>
    <t>TWIA 2014</t>
  </si>
  <si>
    <t>KIPP 2014A</t>
  </si>
  <si>
    <t>KIPP 2014Z</t>
  </si>
  <si>
    <t>RFS 2015C</t>
  </si>
  <si>
    <t>RFS 2015A</t>
  </si>
  <si>
    <t>RFS 2015B</t>
  </si>
  <si>
    <t>WFA 2015ABC</t>
  </si>
  <si>
    <t>RFS Ref Ser 2014B</t>
  </si>
  <si>
    <t>CLS Ser 2014</t>
  </si>
  <si>
    <t>CTTS 2015ABC</t>
  </si>
  <si>
    <t>TMF 2014AB</t>
  </si>
  <si>
    <t>HPS 2014BQ</t>
  </si>
  <si>
    <t>Ser 2015A</t>
  </si>
  <si>
    <t>STET 2014</t>
  </si>
  <si>
    <t>PUF Ref 2015A</t>
  </si>
  <si>
    <t>THF Palladium Midland 2015</t>
  </si>
  <si>
    <t>RFS Ref Ser 2015A</t>
  </si>
  <si>
    <t>RFS Ref Ser 2015B</t>
  </si>
  <si>
    <t>PUF Ser 2015A</t>
  </si>
  <si>
    <t>PUF Ser 2015B</t>
  </si>
  <si>
    <t>RFS Rev Ref Ser 2015</t>
  </si>
  <si>
    <t>WFA Ser 2015EFG</t>
  </si>
  <si>
    <t>Ser 2015B</t>
  </si>
  <si>
    <t>RFS Tax Ser 2015D</t>
  </si>
  <si>
    <t>SHF 2015</t>
  </si>
  <si>
    <t>GO Ref Ser 2015AB</t>
  </si>
  <si>
    <t>Rev Ref Ser 2015A-E</t>
  </si>
  <si>
    <t>MSU Rev Ref 2015AB</t>
  </si>
  <si>
    <t>PUF 2015B</t>
  </si>
  <si>
    <t>KAPS 2015Z</t>
  </si>
  <si>
    <t>Series 2014</t>
  </si>
  <si>
    <t>TMF 2014</t>
  </si>
  <si>
    <t>RFS 2014</t>
  </si>
  <si>
    <t>Series 2014AB</t>
  </si>
  <si>
    <t>Series 2014B</t>
  </si>
  <si>
    <t>Series 2013C</t>
  </si>
  <si>
    <t>PUF Series 2014A</t>
  </si>
  <si>
    <t>PUF Series 2014B</t>
  </si>
  <si>
    <t>RFS Series 2014A</t>
  </si>
  <si>
    <t>Series 2014A</t>
  </si>
  <si>
    <t>Series 2014C</t>
  </si>
  <si>
    <t>Series 2013</t>
  </si>
  <si>
    <t>GO Ref Series 2014A</t>
  </si>
  <si>
    <t>GO Ref Tax Series 2014B</t>
  </si>
  <si>
    <t>UE Comp Series 2014AB</t>
  </si>
  <si>
    <t>Series 2014ABC</t>
  </si>
  <si>
    <t>Series 2013A</t>
  </si>
  <si>
    <t>Series 2013B</t>
  </si>
  <si>
    <t>Waters at Willow Run</t>
  </si>
  <si>
    <t>RFS Rev Ref Bonds Ser 2013</t>
  </si>
  <si>
    <t>RFS Series 2013 C&amp;D (Taxabale)</t>
  </si>
  <si>
    <t>PUF Bonds Ser 2013</t>
  </si>
  <si>
    <t>MHRB (Gateway) Series 2013</t>
  </si>
  <si>
    <t>Rev Bonds Series 2013</t>
  </si>
  <si>
    <t>CSL Bonds Series 2013B</t>
  </si>
  <si>
    <t>GO WFA 2013D, E, F and G</t>
  </si>
  <si>
    <t>Northcrest 2014</t>
  </si>
  <si>
    <t>Pine Haven 2014</t>
  </si>
  <si>
    <t>Decatur-Angle 2014</t>
  </si>
  <si>
    <t>Mission Del Rio 2005</t>
  </si>
  <si>
    <t>REV</t>
  </si>
  <si>
    <t>Negotiated/Private Placement</t>
  </si>
  <si>
    <t>Negotatied</t>
  </si>
  <si>
    <t>Dalcor- Willow Green Apartments</t>
  </si>
  <si>
    <t>Series 2012G</t>
  </si>
  <si>
    <t>Dalcor Woodglen Apts.</t>
  </si>
  <si>
    <t>Dalcor Ridgewood Apts.</t>
  </si>
  <si>
    <t>Dalcor Saddlewood Apts.</t>
  </si>
  <si>
    <t>Ser 2012A &amp; 2012B (Tax)</t>
  </si>
  <si>
    <t>Dalcor Pine Club Apts.</t>
  </si>
  <si>
    <t>Series 2013A (WIF)</t>
  </si>
  <si>
    <t>Series 2013F (EDAP)</t>
  </si>
  <si>
    <t>Series 2012B</t>
  </si>
  <si>
    <t>Series 2012A &amp; 2012B</t>
  </si>
  <si>
    <t>MSU Series 2012A&amp;B</t>
  </si>
  <si>
    <t>TSU RFS Series 2012A</t>
  </si>
  <si>
    <t>TSU Ref Bonds Ser 2013</t>
  </si>
  <si>
    <t>Providence @ Mockingbird Ser 2005</t>
  </si>
  <si>
    <t>Residential Mortgage Rev Bonds Ser 2009C-4</t>
  </si>
  <si>
    <t>SF Mortgage Rev Ref Bonds Ser 2013A</t>
  </si>
  <si>
    <t>RMRB Ser 2009 C-1 (taxable)</t>
  </si>
  <si>
    <t>CSL Loan Ref Bonds</t>
  </si>
  <si>
    <t>RFS Bonds 2013A</t>
  </si>
  <si>
    <t>RFS Bonds Ser 2013B</t>
  </si>
  <si>
    <t>WFA Ser 2013B &amp; WFA 2013C</t>
  </si>
  <si>
    <t>SRF Rev Ref Bonds Ser 2013A</t>
  </si>
  <si>
    <t>Grand Parkway System Toll Rev Bonds, Ser 2013A-E</t>
  </si>
  <si>
    <t>Dalcor Tealwood Place Apts</t>
  </si>
  <si>
    <t>Competitive/Negotiated</t>
  </si>
  <si>
    <t>Go Bonds Ser 2011B</t>
  </si>
  <si>
    <t>RFS Improv &amp; Ref Bnds Ser 2011</t>
  </si>
  <si>
    <t>RMR Bnds Ser 2009C-2 &amp; 2011B</t>
  </si>
  <si>
    <t>Cons Rev &amp; Ref Bonds Ser 2011A</t>
  </si>
  <si>
    <t>GO Bonds Ser 2012C</t>
  </si>
  <si>
    <t>RFS &amp; Ref Bonds Ser 2012</t>
  </si>
  <si>
    <t>RFS Bonds Ser 2011A</t>
  </si>
  <si>
    <t>RFS Ref Bonds Ser 2012A</t>
  </si>
  <si>
    <t>RFS Bonds Ser 2012B</t>
  </si>
  <si>
    <t>Cons Rev &amp; Ref Bonds Ser 2011B (Taxable)</t>
  </si>
  <si>
    <t>Orenda Education Bonds Ser 2011A &amp; 2011Q</t>
  </si>
  <si>
    <t>GO Bonds Ser 2012A &amp; 2012B</t>
  </si>
  <si>
    <t>RFS Ref &amp; Imp Bonds Ser 2012A</t>
  </si>
  <si>
    <t>TSU RFS Note Ser 2011A-4</t>
  </si>
  <si>
    <t>Single Family MRB 2011B (Market Bonds) and 2009B (Program Bonds)</t>
  </si>
  <si>
    <t>Veterans Bonds Ser 2011C</t>
  </si>
  <si>
    <t>Residential Mortgage Rev Bonds Ser 2009C-3(Non-Amt)</t>
  </si>
  <si>
    <t>RFS Ref &amp; Imp Bonds Fifeenth Ser 2012B</t>
  </si>
  <si>
    <t xml:space="preserve">PUF Ser 2011 </t>
  </si>
  <si>
    <t>GO Tax Ref Bonds Ser 2012D (EDAP) and 2012E (SPP)</t>
  </si>
  <si>
    <t>RFS Ref Bonds Ser 2012 (TRB)</t>
  </si>
  <si>
    <t>RFS Ref &amp; Imp Bonds Ser 2012A &amp; Tax Ser 2012B</t>
  </si>
  <si>
    <t>PUF Bonds Ser 2012A &amp; Tax Ser 2012B</t>
  </si>
  <si>
    <t>Parkview Townhomes Ser 2003A&amp;B</t>
  </si>
  <si>
    <t>Timber Oaks Apts Ser 2003A&amp;B</t>
  </si>
  <si>
    <t>Providence at Veteran's Memorial Apts (Ser 2004A)</t>
  </si>
  <si>
    <t>College Student Loan Bonds, Series 2012</t>
  </si>
  <si>
    <t>Class 1 Rev Notes</t>
  </si>
  <si>
    <t>Veterans' Bonds Ser 2012A</t>
  </si>
  <si>
    <t>Private Placment Counsel</t>
  </si>
  <si>
    <t>RFS Bnds Ser 2010C&amp;E</t>
  </si>
  <si>
    <t>GO Bnds Ser 2010A Txble &amp; 2010B</t>
  </si>
  <si>
    <t>Evolution Txble Education Rev Bnds Ser 2010A,B,Q</t>
  </si>
  <si>
    <t>New Frontiers Education Rev Bnds Ser 2010A, B &amp; Q</t>
  </si>
  <si>
    <t>GO Bnds Ser 2010D</t>
  </si>
  <si>
    <t>CTTS 1st Tier Rev Ref Put Bnds Ser 2009</t>
  </si>
  <si>
    <t>Tax Ref Bnds Ser 2010D</t>
  </si>
  <si>
    <t>Tax Ref Bnds Ser 2010E</t>
  </si>
  <si>
    <t>Unemply Comp Ser 2010B&amp;C</t>
  </si>
  <si>
    <t>Unemploy Comp Bonds Ser 2010A</t>
  </si>
  <si>
    <t>TSU RFS Ser 2011</t>
  </si>
  <si>
    <t>RFS Bnds Ser 2011A &amp; B</t>
  </si>
  <si>
    <t>SFM Rev Bnds Ser 2011A and 2009A</t>
  </si>
  <si>
    <t>Ser 2011A</t>
  </si>
  <si>
    <t>AW Brown Tx Ed Rev Bnds Ser 2011Q</t>
  </si>
  <si>
    <t>RMR Bnds Ser 2009C-1 &amp; 2011A</t>
  </si>
  <si>
    <t>RFS Ser 2011</t>
  </si>
  <si>
    <t>Go Bnds Ser 2011A (WIF)</t>
  </si>
  <si>
    <t>MF Rev Bnds Ser 2011A, A-T, B &amp; C</t>
  </si>
  <si>
    <t>CSL Ser 2011A&amp;B</t>
  </si>
  <si>
    <t>CSL Ser 2011C</t>
  </si>
  <si>
    <t>GO Bonds Ser 2011B</t>
  </si>
  <si>
    <t>GO &amp; Ref Bnds Ser 2011</t>
  </si>
  <si>
    <t>GO &amp; Ref Bnds Txble Ser 2011 (CPRIT)</t>
  </si>
  <si>
    <t>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</si>
</sst>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* #,##0"/>
    <numFmt numFmtId="166" formatCode="_(* #,##0_);_(* \(#,##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2">
    <xf numFmtId="0" fontId="0" fillId="0" borderId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1" fillId="2" borderId="0" xfId="0" applyFont="1" applyFill="1" applyBorder="1"/>
    <xf numFmtId="0" fontId="3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1" xfId="0" applyFont="1" applyFill="1" applyBorder="1"/>
    <xf numFmtId="2" fontId="1" fillId="3" borderId="0" xfId="0" applyNumberFormat="1" applyFont="1" applyFill="1" applyBorder="1"/>
    <xf numFmtId="0" fontId="1" fillId="3" borderId="0" xfId="0" applyFont="1" applyFill="1" applyBorder="1"/>
    <xf numFmtId="0" fontId="1" fillId="0" borderId="3" xfId="0" applyFont="1" applyFill="1" applyBorder="1" applyAlignment="1">
      <alignment horizontal="left"/>
    </xf>
    <xf numFmtId="0" fontId="1" fillId="3" borderId="6" xfId="0" applyFont="1" applyFill="1" applyBorder="1"/>
    <xf numFmtId="0" fontId="2" fillId="4" borderId="7" xfId="0" applyFont="1" applyFill="1" applyBorder="1" applyAlignment="1">
      <alignment horizontal="left"/>
    </xf>
    <xf numFmtId="0" fontId="1" fillId="3" borderId="8" xfId="0" applyFont="1" applyFill="1" applyBorder="1"/>
    <xf numFmtId="3" fontId="1" fillId="0" borderId="9" xfId="0" applyNumberFormat="1" applyFont="1" applyFill="1" applyBorder="1" applyAlignment="1">
      <alignment horizontal="left"/>
    </xf>
    <xf numFmtId="0" fontId="1" fillId="0" borderId="2" xfId="0" applyFont="1" applyFill="1" applyBorder="1"/>
    <xf numFmtId="0" fontId="1" fillId="3" borderId="10" xfId="0" applyFont="1" applyFill="1" applyBorder="1"/>
    <xf numFmtId="0" fontId="1" fillId="0" borderId="11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0" xfId="0" applyFont="1" applyFill="1" applyBorder="1"/>
    <xf numFmtId="0" fontId="1" fillId="3" borderId="15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6" xfId="0" applyFont="1" applyFill="1" applyBorder="1"/>
    <xf numFmtId="0" fontId="4" fillId="0" borderId="1" xfId="0" applyFont="1" applyFill="1" applyBorder="1" applyAlignment="1">
      <alignment horizontal="left"/>
    </xf>
    <xf numFmtId="3" fontId="1" fillId="0" borderId="10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left"/>
    </xf>
    <xf numFmtId="0" fontId="1" fillId="0" borderId="10" xfId="0" applyFont="1" applyFill="1" applyBorder="1"/>
    <xf numFmtId="0" fontId="1" fillId="3" borderId="1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3" fontId="1" fillId="0" borderId="10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1" fillId="3" borderId="1" xfId="0" applyNumberFormat="1" applyFont="1" applyFill="1" applyBorder="1" applyAlignment="1">
      <alignment horizontal="right"/>
    </xf>
    <xf numFmtId="0" fontId="5" fillId="0" borderId="10" xfId="0" applyFont="1" applyFill="1" applyBorder="1" applyAlignment="1">
      <alignment horizontal="left"/>
    </xf>
    <xf numFmtId="41" fontId="1" fillId="3" borderId="1" xfId="0" applyNumberFormat="1" applyFont="1" applyFill="1" applyBorder="1" applyAlignment="1">
      <alignment horizontal="right"/>
    </xf>
    <xf numFmtId="165" fontId="5" fillId="4" borderId="15" xfId="0" applyNumberFormat="1" applyFont="1" applyFill="1" applyBorder="1" applyAlignment="1">
      <alignment horizontal="left"/>
    </xf>
    <xf numFmtId="165" fontId="1" fillId="0" borderId="0" xfId="0" applyNumberFormat="1" applyFont="1" applyFill="1" applyBorder="1"/>
    <xf numFmtId="165" fontId="1" fillId="0" borderId="16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4" xfId="0" applyFont="1" applyFill="1" applyBorder="1"/>
    <xf numFmtId="14" fontId="1" fillId="0" borderId="18" xfId="0" applyNumberFormat="1" applyFont="1" applyFill="1" applyBorder="1" applyAlignment="1">
      <alignment horizontal="center"/>
    </xf>
    <xf numFmtId="14" fontId="1" fillId="0" borderId="19" xfId="0" applyNumberFormat="1" applyFont="1" applyFill="1" applyBorder="1" applyAlignment="1">
      <alignment horizontal="center"/>
    </xf>
    <xf numFmtId="14" fontId="1" fillId="3" borderId="18" xfId="0" applyNumberFormat="1" applyFont="1" applyFill="1" applyBorder="1" applyAlignment="1">
      <alignment horizontal="center"/>
    </xf>
    <xf numFmtId="0" fontId="1" fillId="0" borderId="19" xfId="0" applyFont="1" applyFill="1" applyBorder="1"/>
    <xf numFmtId="0" fontId="5" fillId="0" borderId="20" xfId="0" applyFont="1" applyFill="1" applyBorder="1" applyAlignment="1">
      <alignment horizontal="left"/>
    </xf>
    <xf numFmtId="14" fontId="1" fillId="0" borderId="1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14" fontId="1" fillId="3" borderId="10" xfId="0" applyNumberFormat="1" applyFont="1" applyFill="1" applyBorder="1" applyAlignment="1">
      <alignment horizontal="center"/>
    </xf>
    <xf numFmtId="0" fontId="1" fillId="4" borderId="21" xfId="0" applyFont="1" applyFill="1" applyBorder="1"/>
    <xf numFmtId="3" fontId="1" fillId="0" borderId="10" xfId="0" applyNumberFormat="1" applyFont="1" applyFill="1" applyBorder="1"/>
    <xf numFmtId="3" fontId="1" fillId="3" borderId="1" xfId="0" applyNumberFormat="1" applyFont="1" applyFill="1" applyBorder="1"/>
    <xf numFmtId="0" fontId="1" fillId="0" borderId="22" xfId="0" applyFont="1" applyFill="1" applyBorder="1" applyAlignment="1">
      <alignment horizontal="left"/>
    </xf>
    <xf numFmtId="3" fontId="1" fillId="0" borderId="5" xfId="0" applyNumberFormat="1" applyFont="1" applyFill="1" applyBorder="1"/>
    <xf numFmtId="3" fontId="1" fillId="0" borderId="6" xfId="0" applyNumberFormat="1" applyFont="1" applyFill="1" applyBorder="1"/>
    <xf numFmtId="3" fontId="1" fillId="3" borderId="6" xfId="0" applyNumberFormat="1" applyFont="1" applyFill="1" applyBorder="1"/>
    <xf numFmtId="3" fontId="1" fillId="0" borderId="5" xfId="0" applyNumberFormat="1" applyFont="1" applyFill="1" applyBorder="1" applyAlignment="1">
      <alignment horizontal="right"/>
    </xf>
    <xf numFmtId="3" fontId="1" fillId="3" borderId="21" xfId="0" applyNumberFormat="1" applyFont="1" applyFill="1" applyBorder="1"/>
    <xf numFmtId="3" fontId="1" fillId="3" borderId="10" xfId="0" applyNumberFormat="1" applyFont="1" applyFill="1" applyBorder="1"/>
    <xf numFmtId="0" fontId="5" fillId="0" borderId="11" xfId="0" applyFont="1" applyFill="1" applyBorder="1" applyAlignment="1">
      <alignment horizontal="left"/>
    </xf>
    <xf numFmtId="3" fontId="1" fillId="0" borderId="23" xfId="0" applyNumberFormat="1" applyFont="1" applyFill="1" applyBorder="1"/>
    <xf numFmtId="3" fontId="1" fillId="3" borderId="24" xfId="0" applyNumberFormat="1" applyFont="1" applyFill="1" applyBorder="1"/>
    <xf numFmtId="0" fontId="5" fillId="0" borderId="3" xfId="0" applyFont="1" applyFill="1" applyBorder="1" applyAlignment="1">
      <alignment horizontal="left"/>
    </xf>
    <xf numFmtId="0" fontId="1" fillId="0" borderId="5" xfId="0" applyFont="1" applyFill="1" applyBorder="1"/>
    <xf numFmtId="3" fontId="5" fillId="0" borderId="11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3" fontId="1" fillId="0" borderId="14" xfId="0" applyNumberFormat="1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left"/>
    </xf>
    <xf numFmtId="3" fontId="1" fillId="0" borderId="19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6" fillId="0" borderId="14" xfId="0" applyFont="1" applyFill="1" applyBorder="1"/>
    <xf numFmtId="0" fontId="1" fillId="0" borderId="25" xfId="0" applyFont="1" applyFill="1" applyBorder="1"/>
    <xf numFmtId="3" fontId="1" fillId="3" borderId="26" xfId="0" applyNumberFormat="1" applyFont="1" applyFill="1" applyBorder="1"/>
    <xf numFmtId="3" fontId="1" fillId="0" borderId="14" xfId="0" applyNumberFormat="1" applyFont="1" applyFill="1" applyBorder="1"/>
    <xf numFmtId="2" fontId="1" fillId="0" borderId="10" xfId="0" applyNumberFormat="1" applyFont="1" applyFill="1" applyBorder="1"/>
    <xf numFmtId="2" fontId="1" fillId="3" borderId="10" xfId="0" applyNumberFormat="1" applyFont="1" applyFill="1" applyBorder="1"/>
    <xf numFmtId="2" fontId="1" fillId="0" borderId="0" xfId="0" applyNumberFormat="1" applyFont="1" applyFill="1" applyBorder="1"/>
    <xf numFmtId="2" fontId="1" fillId="0" borderId="5" xfId="0" applyNumberFormat="1" applyFont="1" applyFill="1" applyBorder="1"/>
    <xf numFmtId="2" fontId="1" fillId="3" borderId="5" xfId="0" applyNumberFormat="1" applyFont="1" applyFill="1" applyBorder="1"/>
    <xf numFmtId="2" fontId="1" fillId="0" borderId="4" xfId="0" applyNumberFormat="1" applyFont="1" applyFill="1" applyBorder="1"/>
    <xf numFmtId="0" fontId="5" fillId="0" borderId="9" xfId="0" applyFont="1" applyFill="1" applyBorder="1" applyAlignment="1">
      <alignment horizontal="left"/>
    </xf>
    <xf numFmtId="2" fontId="1" fillId="0" borderId="27" xfId="0" applyNumberFormat="1" applyFont="1" applyFill="1" applyBorder="1"/>
    <xf numFmtId="2" fontId="1" fillId="3" borderId="27" xfId="0" applyNumberFormat="1" applyFont="1" applyFill="1" applyBorder="1"/>
    <xf numFmtId="2" fontId="1" fillId="3" borderId="1" xfId="0" applyNumberFormat="1" applyFont="1" applyFill="1" applyBorder="1"/>
    <xf numFmtId="2" fontId="1" fillId="3" borderId="28" xfId="0" applyNumberFormat="1" applyFont="1" applyFill="1" applyBorder="1"/>
    <xf numFmtId="2" fontId="1" fillId="0" borderId="23" xfId="0" applyNumberFormat="1" applyFont="1" applyFill="1" applyBorder="1"/>
    <xf numFmtId="2" fontId="1" fillId="0" borderId="26" xfId="0" applyNumberFormat="1" applyFont="1" applyFill="1" applyBorder="1"/>
    <xf numFmtId="2" fontId="1" fillId="3" borderId="26" xfId="0" applyNumberFormat="1" applyFont="1" applyFill="1" applyBorder="1"/>
    <xf numFmtId="3" fontId="5" fillId="0" borderId="20" xfId="0" applyNumberFormat="1" applyFont="1" applyFill="1" applyBorder="1" applyAlignment="1">
      <alignment horizontal="left"/>
    </xf>
    <xf numFmtId="3" fontId="1" fillId="0" borderId="0" xfId="0" applyNumberFormat="1" applyFont="1" applyFill="1" applyBorder="1"/>
    <xf numFmtId="3" fontId="5" fillId="0" borderId="17" xfId="0" applyNumberFormat="1" applyFont="1" applyFill="1" applyBorder="1" applyAlignment="1">
      <alignment horizontal="left"/>
    </xf>
    <xf numFmtId="3" fontId="1" fillId="0" borderId="19" xfId="0" applyNumberFormat="1" applyFont="1" applyFill="1" applyBorder="1"/>
    <xf numFmtId="0" fontId="7" fillId="4" borderId="7" xfId="0" applyFont="1" applyFill="1" applyBorder="1" applyAlignment="1">
      <alignment horizontal="left"/>
    </xf>
    <xf numFmtId="0" fontId="7" fillId="4" borderId="9" xfId="0" applyFont="1" applyFill="1" applyBorder="1" applyAlignment="1">
      <alignment horizontal="left"/>
    </xf>
    <xf numFmtId="0" fontId="7" fillId="4" borderId="15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left"/>
    </xf>
    <xf numFmtId="0" fontId="7" fillId="4" borderId="17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2" fontId="1" fillId="3" borderId="29" xfId="0" applyNumberFormat="1" applyFont="1" applyFill="1" applyBorder="1"/>
    <xf numFmtId="0" fontId="1" fillId="5" borderId="15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1" fillId="0" borderId="21" xfId="0" applyFont="1" applyFill="1" applyBorder="1"/>
    <xf numFmtId="3" fontId="1" fillId="0" borderId="21" xfId="0" applyNumberFormat="1" applyFont="1" applyFill="1" applyBorder="1"/>
    <xf numFmtId="3" fontId="1" fillId="0" borderId="17" xfId="0" applyNumberFormat="1" applyFont="1" applyFill="1" applyBorder="1" applyAlignment="1">
      <alignment horizontal="right"/>
    </xf>
    <xf numFmtId="0" fontId="1" fillId="0" borderId="8" xfId="0" applyFont="1" applyFill="1" applyBorder="1"/>
    <xf numFmtId="3" fontId="1" fillId="0" borderId="1" xfId="0" applyNumberFormat="1" applyFont="1" applyFill="1" applyBorder="1"/>
    <xf numFmtId="0" fontId="1" fillId="0" borderId="6" xfId="0" applyFont="1" applyFill="1" applyBorder="1"/>
    <xf numFmtId="165" fontId="1" fillId="0" borderId="12" xfId="6" applyNumberFormat="1" applyFont="1" applyFill="1" applyBorder="1"/>
    <xf numFmtId="165" fontId="1" fillId="3" borderId="15" xfId="6" applyNumberFormat="1" applyFont="1" applyFill="1" applyBorder="1"/>
    <xf numFmtId="164" fontId="1" fillId="0" borderId="10" xfId="6" applyNumberFormat="1" applyFont="1" applyFill="1" applyBorder="1"/>
    <xf numFmtId="164" fontId="1" fillId="0" borderId="0" xfId="6" applyNumberFormat="1" applyFont="1" applyFill="1" applyBorder="1"/>
    <xf numFmtId="164" fontId="1" fillId="3" borderId="4" xfId="6" applyNumberFormat="1" applyFont="1" applyFill="1" applyBorder="1"/>
    <xf numFmtId="166" fontId="1" fillId="0" borderId="27" xfId="2" applyNumberFormat="1" applyFont="1" applyFill="1" applyBorder="1"/>
    <xf numFmtId="166" fontId="1" fillId="3" borderId="28" xfId="2" applyNumberFormat="1" applyFont="1" applyFill="1" applyBorder="1"/>
    <xf numFmtId="166" fontId="1" fillId="3" borderId="6" xfId="2" applyNumberFormat="1" applyFont="1" applyFill="1" applyBorder="1"/>
    <xf numFmtId="166" fontId="1" fillId="0" borderId="10" xfId="2" applyNumberFormat="1" applyFont="1" applyFill="1" applyBorder="1"/>
    <xf numFmtId="166" fontId="1" fillId="0" borderId="23" xfId="2" applyNumberFormat="1" applyFont="1" applyFill="1" applyBorder="1"/>
    <xf numFmtId="3" fontId="1" fillId="3" borderId="26" xfId="2" applyNumberFormat="1" applyFont="1" applyFill="1" applyBorder="1" applyAlignment="1">
      <alignment horizontal="right"/>
    </xf>
    <xf numFmtId="3" fontId="1" fillId="3" borderId="28" xfId="2" applyNumberFormat="1" applyFont="1" applyFill="1" applyBorder="1" applyAlignment="1">
      <alignment horizontal="right"/>
    </xf>
    <xf numFmtId="3" fontId="1" fillId="0" borderId="5" xfId="2" applyNumberFormat="1" applyFont="1" applyFill="1" applyBorder="1" applyAlignment="1">
      <alignment horizontal="right"/>
    </xf>
    <xf numFmtId="3" fontId="1" fillId="3" borderId="6" xfId="2" applyNumberFormat="1" applyFont="1" applyFill="1" applyBorder="1" applyAlignment="1">
      <alignment horizontal="right"/>
    </xf>
    <xf numFmtId="3" fontId="1" fillId="0" borderId="6" xfId="2" applyNumberFormat="1" applyFont="1" applyFill="1" applyBorder="1" applyAlignment="1">
      <alignment horizontal="right"/>
    </xf>
    <xf numFmtId="166" fontId="1" fillId="0" borderId="28" xfId="2" applyNumberFormat="1" applyFont="1" applyFill="1" applyBorder="1"/>
    <xf numFmtId="166" fontId="1" fillId="3" borderId="1" xfId="2" applyNumberFormat="1" applyFont="1" applyFill="1" applyBorder="1"/>
    <xf numFmtId="166" fontId="1" fillId="0" borderId="18" xfId="2" applyNumberFormat="1" applyFont="1" applyFill="1" applyBorder="1"/>
    <xf numFmtId="166" fontId="1" fillId="0" borderId="4" xfId="2" applyNumberFormat="1" applyFont="1" applyFill="1" applyBorder="1"/>
    <xf numFmtId="166" fontId="1" fillId="3" borderId="20" xfId="2" applyNumberFormat="1" applyFont="1" applyFill="1" applyBorder="1"/>
    <xf numFmtId="166" fontId="1" fillId="3" borderId="17" xfId="2" applyNumberFormat="1" applyFont="1" applyFill="1" applyBorder="1"/>
    <xf numFmtId="3" fontId="1" fillId="0" borderId="18" xfId="0" applyNumberFormat="1" applyFont="1" applyFill="1" applyBorder="1" applyAlignment="1">
      <alignment horizontal="right"/>
    </xf>
    <xf numFmtId="3" fontId="1" fillId="0" borderId="27" xfId="0" applyNumberFormat="1" applyFont="1" applyFill="1" applyBorder="1" applyAlignment="1">
      <alignment horizontal="right"/>
    </xf>
    <xf numFmtId="3" fontId="1" fillId="0" borderId="21" xfId="0" applyNumberFormat="1" applyFont="1" applyFill="1" applyBorder="1" applyAlignment="1">
      <alignment horizontal="right"/>
    </xf>
    <xf numFmtId="0" fontId="1" fillId="5" borderId="12" xfId="0" applyFont="1" applyFill="1" applyBorder="1" applyAlignment="1">
      <alignment horizontal="center"/>
    </xf>
    <xf numFmtId="164" fontId="1" fillId="0" borderId="25" xfId="6" applyNumberFormat="1" applyFont="1" applyFill="1" applyBorder="1"/>
    <xf numFmtId="3" fontId="11" fillId="0" borderId="1" xfId="0" applyNumberFormat="1" applyFont="1" applyFill="1" applyBorder="1" applyAlignment="1">
      <alignment horizontal="center"/>
    </xf>
    <xf numFmtId="3" fontId="1" fillId="4" borderId="21" xfId="0" applyNumberFormat="1" applyFont="1" applyFill="1" applyBorder="1"/>
    <xf numFmtId="166" fontId="1" fillId="0" borderId="1" xfId="2" applyNumberFormat="1" applyFont="1" applyFill="1" applyBorder="1"/>
    <xf numFmtId="166" fontId="1" fillId="0" borderId="20" xfId="2" applyNumberFormat="1" applyFont="1" applyFill="1" applyBorder="1"/>
    <xf numFmtId="166" fontId="1" fillId="0" borderId="17" xfId="2" applyNumberFormat="1" applyFont="1" applyFill="1" applyBorder="1"/>
    <xf numFmtId="0" fontId="1" fillId="0" borderId="30" xfId="0" applyFont="1" applyFill="1" applyBorder="1" applyAlignment="1">
      <alignment horizontal="center"/>
    </xf>
    <xf numFmtId="14" fontId="1" fillId="0" borderId="31" xfId="0" applyNumberFormat="1" applyFont="1" applyFill="1" applyBorder="1" applyAlignment="1">
      <alignment horizontal="center"/>
    </xf>
    <xf numFmtId="14" fontId="1" fillId="0" borderId="32" xfId="0" applyNumberFormat="1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5" borderId="15" xfId="10" applyFont="1" applyFill="1" applyBorder="1" applyAlignment="1">
      <alignment horizontal="center"/>
    </xf>
    <xf numFmtId="3" fontId="1" fillId="0" borderId="1" xfId="10" applyNumberFormat="1" applyFont="1" applyFill="1" applyBorder="1" applyAlignment="1">
      <alignment horizontal="center"/>
    </xf>
    <xf numFmtId="0" fontId="1" fillId="0" borderId="1" xfId="10" applyFont="1" applyFill="1" applyBorder="1"/>
    <xf numFmtId="0" fontId="1" fillId="0" borderId="13" xfId="10" applyFont="1" applyFill="1" applyBorder="1" applyAlignment="1">
      <alignment horizontal="center"/>
    </xf>
    <xf numFmtId="3" fontId="1" fillId="0" borderId="1" xfId="10" applyNumberFormat="1" applyFont="1" applyFill="1" applyBorder="1" applyAlignment="1">
      <alignment horizontal="right"/>
    </xf>
    <xf numFmtId="165" fontId="1" fillId="0" borderId="12" xfId="8" applyNumberFormat="1" applyFont="1" applyFill="1" applyBorder="1"/>
    <xf numFmtId="164" fontId="1" fillId="0" borderId="0" xfId="8" applyNumberFormat="1" applyFont="1" applyFill="1" applyBorder="1"/>
    <xf numFmtId="0" fontId="1" fillId="0" borderId="14" xfId="10" applyFont="1" applyFill="1" applyBorder="1" applyAlignment="1">
      <alignment horizontal="center"/>
    </xf>
    <xf numFmtId="14" fontId="1" fillId="0" borderId="19" xfId="10" applyNumberFormat="1" applyFont="1" applyFill="1" applyBorder="1" applyAlignment="1">
      <alignment horizontal="center"/>
    </xf>
    <xf numFmtId="14" fontId="1" fillId="0" borderId="0" xfId="10" applyNumberFormat="1" applyFont="1" applyFill="1" applyBorder="1" applyAlignment="1">
      <alignment horizontal="center"/>
    </xf>
    <xf numFmtId="0" fontId="1" fillId="4" borderId="21" xfId="10" applyFont="1" applyFill="1" applyBorder="1"/>
    <xf numFmtId="3" fontId="1" fillId="0" borderId="1" xfId="10" applyNumberFormat="1" applyFont="1" applyFill="1" applyBorder="1"/>
    <xf numFmtId="166" fontId="1" fillId="0" borderId="5" xfId="2" applyNumberFormat="1" applyFont="1" applyFill="1" applyBorder="1"/>
    <xf numFmtId="3" fontId="1" fillId="0" borderId="6" xfId="10" applyNumberFormat="1" applyFont="1" applyFill="1" applyBorder="1"/>
    <xf numFmtId="3" fontId="1" fillId="0" borderId="10" xfId="10" applyNumberFormat="1" applyFont="1" applyFill="1" applyBorder="1"/>
    <xf numFmtId="3" fontId="1" fillId="0" borderId="5" xfId="10" applyNumberFormat="1" applyFont="1" applyFill="1" applyBorder="1"/>
    <xf numFmtId="0" fontId="1" fillId="0" borderId="27" xfId="0" applyFont="1" applyFill="1" applyBorder="1"/>
    <xf numFmtId="166" fontId="1" fillId="0" borderId="33" xfId="2" applyNumberFormat="1" applyFont="1" applyFill="1" applyBorder="1"/>
    <xf numFmtId="166" fontId="1" fillId="0" borderId="27" xfId="3" applyNumberFormat="1" applyFont="1" applyFill="1" applyBorder="1"/>
    <xf numFmtId="0" fontId="1" fillId="0" borderId="8" xfId="10" applyFont="1" applyFill="1" applyBorder="1"/>
    <xf numFmtId="166" fontId="1" fillId="0" borderId="1" xfId="3" applyNumberFormat="1" applyFont="1" applyFill="1" applyBorder="1"/>
    <xf numFmtId="166" fontId="1" fillId="0" borderId="28" xfId="3" applyNumberFormat="1" applyFont="1" applyFill="1" applyBorder="1"/>
    <xf numFmtId="3" fontId="1" fillId="0" borderId="6" xfId="3" applyNumberFormat="1" applyFont="1" applyFill="1" applyBorder="1" applyAlignment="1">
      <alignment horizontal="right"/>
    </xf>
    <xf numFmtId="0" fontId="1" fillId="3" borderId="1" xfId="10" applyFont="1" applyFill="1" applyBorder="1"/>
    <xf numFmtId="3" fontId="1" fillId="0" borderId="21" xfId="10" applyNumberFormat="1" applyFont="1" applyFill="1" applyBorder="1"/>
    <xf numFmtId="2" fontId="1" fillId="0" borderId="0" xfId="10" applyNumberFormat="1" applyFont="1" applyFill="1" applyBorder="1"/>
    <xf numFmtId="0" fontId="1" fillId="0" borderId="0" xfId="10" applyFont="1" applyFill="1" applyBorder="1"/>
    <xf numFmtId="166" fontId="1" fillId="0" borderId="20" xfId="3" applyNumberFormat="1" applyFont="1" applyFill="1" applyBorder="1"/>
    <xf numFmtId="166" fontId="1" fillId="0" borderId="17" xfId="3" applyNumberFormat="1" applyFont="1" applyFill="1" applyBorder="1"/>
    <xf numFmtId="14" fontId="1" fillId="0" borderId="25" xfId="0" applyNumberFormat="1" applyFont="1" applyFill="1" applyBorder="1" applyAlignment="1">
      <alignment horizontal="center"/>
    </xf>
    <xf numFmtId="0" fontId="1" fillId="0" borderId="21" xfId="10" applyFont="1" applyFill="1" applyBorder="1"/>
    <xf numFmtId="165" fontId="1" fillId="0" borderId="4" xfId="7" applyNumberFormat="1" applyFont="1" applyFill="1" applyBorder="1"/>
    <xf numFmtId="165" fontId="1" fillId="0" borderId="12" xfId="7" applyNumberFormat="1" applyFont="1" applyFill="1" applyBorder="1"/>
    <xf numFmtId="165" fontId="1" fillId="0" borderId="18" xfId="7" applyNumberFormat="1" applyFont="1" applyFill="1" applyBorder="1"/>
    <xf numFmtId="165" fontId="1" fillId="3" borderId="15" xfId="7" applyNumberFormat="1" applyFont="1" applyFill="1" applyBorder="1"/>
    <xf numFmtId="164" fontId="1" fillId="0" borderId="10" xfId="7" applyNumberFormat="1" applyFont="1" applyFill="1" applyBorder="1"/>
    <xf numFmtId="164" fontId="1" fillId="0" borderId="0" xfId="7" applyNumberFormat="1" applyFont="1" applyFill="1" applyBorder="1"/>
    <xf numFmtId="164" fontId="1" fillId="3" borderId="4" xfId="7" applyNumberFormat="1" applyFont="1" applyFill="1" applyBorder="1"/>
    <xf numFmtId="166" fontId="1" fillId="0" borderId="27" xfId="4" applyNumberFormat="1" applyFont="1" applyFill="1" applyBorder="1"/>
    <xf numFmtId="166" fontId="1" fillId="0" borderId="28" xfId="4" applyNumberFormat="1" applyFont="1" applyFill="1" applyBorder="1"/>
    <xf numFmtId="166" fontId="1" fillId="3" borderId="28" xfId="4" applyNumberFormat="1" applyFont="1" applyFill="1" applyBorder="1"/>
    <xf numFmtId="166" fontId="1" fillId="3" borderId="6" xfId="4" applyNumberFormat="1" applyFont="1" applyFill="1" applyBorder="1"/>
    <xf numFmtId="166" fontId="1" fillId="0" borderId="10" xfId="4" applyNumberFormat="1" applyFont="1" applyFill="1" applyBorder="1"/>
    <xf numFmtId="166" fontId="1" fillId="0" borderId="1" xfId="4" applyNumberFormat="1" applyFont="1" applyFill="1" applyBorder="1"/>
    <xf numFmtId="166" fontId="1" fillId="0" borderId="0" xfId="4" applyNumberFormat="1" applyFont="1" applyFill="1" applyBorder="1"/>
    <xf numFmtId="166" fontId="1" fillId="0" borderId="23" xfId="4" applyNumberFormat="1" applyFont="1" applyFill="1" applyBorder="1"/>
    <xf numFmtId="3" fontId="1" fillId="3" borderId="28" xfId="4" applyNumberFormat="1" applyFont="1" applyFill="1" applyBorder="1" applyAlignment="1">
      <alignment horizontal="right"/>
    </xf>
    <xf numFmtId="3" fontId="1" fillId="0" borderId="5" xfId="4" applyNumberFormat="1" applyFont="1" applyFill="1" applyBorder="1" applyAlignment="1">
      <alignment horizontal="right"/>
    </xf>
    <xf numFmtId="3" fontId="1" fillId="0" borderId="6" xfId="4" applyNumberFormat="1" applyFont="1" applyFill="1" applyBorder="1" applyAlignment="1">
      <alignment horizontal="right"/>
    </xf>
    <xf numFmtId="3" fontId="1" fillId="3" borderId="6" xfId="4" applyNumberFormat="1" applyFont="1" applyFill="1" applyBorder="1" applyAlignment="1">
      <alignment horizontal="right"/>
    </xf>
    <xf numFmtId="166" fontId="1" fillId="0" borderId="26" xfId="4" applyNumberFormat="1" applyFont="1" applyFill="1" applyBorder="1"/>
    <xf numFmtId="166" fontId="1" fillId="3" borderId="1" xfId="4" applyNumberFormat="1" applyFont="1" applyFill="1" applyBorder="1"/>
    <xf numFmtId="166" fontId="1" fillId="0" borderId="4" xfId="4" applyNumberFormat="1" applyFont="1" applyFill="1" applyBorder="1"/>
    <xf numFmtId="166" fontId="1" fillId="0" borderId="20" xfId="4" applyNumberFormat="1" applyFont="1" applyFill="1" applyBorder="1"/>
    <xf numFmtId="166" fontId="1" fillId="3" borderId="20" xfId="4" applyNumberFormat="1" applyFont="1" applyFill="1" applyBorder="1"/>
    <xf numFmtId="166" fontId="1" fillId="0" borderId="25" xfId="4" applyNumberFormat="1" applyFont="1" applyFill="1" applyBorder="1"/>
    <xf numFmtId="166" fontId="1" fillId="0" borderId="18" xfId="4" applyNumberFormat="1" applyFont="1" applyFill="1" applyBorder="1"/>
    <xf numFmtId="166" fontId="1" fillId="0" borderId="17" xfId="4" applyNumberFormat="1" applyFont="1" applyFill="1" applyBorder="1"/>
    <xf numFmtId="166" fontId="1" fillId="3" borderId="17" xfId="4" applyNumberFormat="1" applyFont="1" applyFill="1" applyBorder="1"/>
    <xf numFmtId="166" fontId="1" fillId="0" borderId="31" xfId="4" applyNumberFormat="1" applyFont="1" applyFill="1" applyBorder="1"/>
    <xf numFmtId="164" fontId="1" fillId="3" borderId="20" xfId="6" applyNumberFormat="1" applyFont="1" applyFill="1" applyBorder="1"/>
    <xf numFmtId="0" fontId="1" fillId="3" borderId="20" xfId="0" applyFont="1" applyFill="1" applyBorder="1" applyAlignment="1">
      <alignment horizontal="center"/>
    </xf>
    <xf numFmtId="14" fontId="1" fillId="3" borderId="17" xfId="0" applyNumberFormat="1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3" fontId="1" fillId="3" borderId="8" xfId="0" applyNumberFormat="1" applyFont="1" applyFill="1" applyBorder="1"/>
    <xf numFmtId="3" fontId="1" fillId="3" borderId="34" xfId="0" applyNumberFormat="1" applyFont="1" applyFill="1" applyBorder="1"/>
    <xf numFmtId="2" fontId="1" fillId="3" borderId="6" xfId="0" applyNumberFormat="1" applyFont="1" applyFill="1" applyBorder="1"/>
    <xf numFmtId="3" fontId="1" fillId="0" borderId="4" xfId="0" applyNumberFormat="1" applyFont="1" applyFill="1" applyBorder="1" applyAlignment="1">
      <alignment horizontal="center"/>
    </xf>
    <xf numFmtId="2" fontId="1" fillId="0" borderId="18" xfId="0" applyNumberFormat="1" applyFont="1" applyFill="1" applyBorder="1"/>
    <xf numFmtId="0" fontId="1" fillId="0" borderId="12" xfId="0" applyFont="1" applyFill="1" applyBorder="1" applyAlignment="1">
      <alignment horizontal="left" wrapText="1"/>
    </xf>
    <xf numFmtId="0" fontId="1" fillId="0" borderId="12" xfId="0" applyFont="1" applyFill="1" applyBorder="1" applyAlignment="1">
      <alignment horizontal="center" wrapText="1"/>
    </xf>
    <xf numFmtId="0" fontId="1" fillId="0" borderId="12" xfId="1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" fillId="0" borderId="15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center"/>
    </xf>
    <xf numFmtId="3" fontId="1" fillId="0" borderId="20" xfId="0" applyNumberFormat="1" applyFont="1" applyFill="1" applyBorder="1" applyAlignment="1">
      <alignment horizontal="right"/>
    </xf>
    <xf numFmtId="165" fontId="1" fillId="0" borderId="15" xfId="7" applyNumberFormat="1" applyFont="1" applyFill="1" applyBorder="1"/>
    <xf numFmtId="164" fontId="1" fillId="0" borderId="1" xfId="7" applyNumberFormat="1" applyFont="1" applyFill="1" applyBorder="1"/>
    <xf numFmtId="0" fontId="1" fillId="0" borderId="20" xfId="0" applyFont="1" applyFill="1" applyBorder="1" applyAlignment="1">
      <alignment horizontal="center"/>
    </xf>
    <xf numFmtId="14" fontId="1" fillId="0" borderId="17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3" fontId="1" fillId="0" borderId="8" xfId="0" applyNumberFormat="1" applyFont="1" applyFill="1" applyBorder="1"/>
    <xf numFmtId="3" fontId="1" fillId="0" borderId="26" xfId="0" applyNumberFormat="1" applyFont="1" applyFill="1" applyBorder="1"/>
    <xf numFmtId="0" fontId="1" fillId="0" borderId="17" xfId="0" applyFont="1" applyFill="1" applyBorder="1"/>
    <xf numFmtId="2" fontId="1" fillId="0" borderId="20" xfId="0" applyNumberFormat="1" applyFont="1" applyFill="1" applyBorder="1"/>
    <xf numFmtId="2" fontId="1" fillId="0" borderId="1" xfId="0" applyNumberFormat="1" applyFont="1" applyFill="1" applyBorder="1"/>
    <xf numFmtId="2" fontId="1" fillId="0" borderId="6" xfId="0" applyNumberFormat="1" applyFont="1" applyFill="1" applyBorder="1"/>
    <xf numFmtId="2" fontId="1" fillId="0" borderId="28" xfId="0" applyNumberFormat="1" applyFont="1" applyFill="1" applyBorder="1"/>
    <xf numFmtId="0" fontId="1" fillId="0" borderId="15" xfId="0" applyFont="1" applyFill="1" applyBorder="1"/>
    <xf numFmtId="3" fontId="1" fillId="3" borderId="26" xfId="4" applyNumberFormat="1" applyFont="1" applyFill="1" applyBorder="1" applyAlignment="1">
      <alignment horizontal="right"/>
    </xf>
  </cellXfs>
  <cellStyles count="12">
    <cellStyle name="Comma 2" xfId="1"/>
    <cellStyle name="Comma 3" xfId="2"/>
    <cellStyle name="Comma 4" xfId="3"/>
    <cellStyle name="Comma 5" xfId="4"/>
    <cellStyle name="Currency 2" xfId="5"/>
    <cellStyle name="Currency 3" xfId="6"/>
    <cellStyle name="Currency 4" xfId="7"/>
    <cellStyle name="Currency 5" xfId="8"/>
    <cellStyle name="Normal" xfId="0" builtinId="0"/>
    <cellStyle name="Normal 2" xfId="9"/>
    <cellStyle name="Normal 6" xfId="10"/>
    <cellStyle name="Percent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744"/>
  <sheetViews>
    <sheetView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55" sqref="A55"/>
    </sheetView>
  </sheetViews>
  <sheetFormatPr defaultColWidth="11.42578125" defaultRowHeight="12.75" x14ac:dyDescent="0.2"/>
  <cols>
    <col min="1" max="1" width="45" style="21" customWidth="1"/>
    <col min="2" max="8" width="15.5703125" style="22" customWidth="1"/>
    <col min="9" max="9" width="17.5703125" style="22" bestFit="1" customWidth="1"/>
    <col min="10" max="10" width="17.5703125" style="22" customWidth="1"/>
    <col min="11" max="11" width="16.5703125" style="22" bestFit="1" customWidth="1"/>
    <col min="12" max="20" width="15.5703125" style="22" customWidth="1"/>
    <col min="21" max="21" width="26" style="22" bestFit="1" customWidth="1"/>
    <col min="22" max="25" width="17.5703125" style="22" bestFit="1" customWidth="1"/>
    <col min="26" max="27" width="15.5703125" style="22" customWidth="1"/>
    <col min="28" max="28" width="15.42578125" style="22" customWidth="1"/>
    <col min="29" max="29" width="15.5703125" style="22" customWidth="1"/>
    <col min="30" max="30" width="16.140625" style="22" customWidth="1"/>
    <col min="31" max="31" width="17.85546875" style="22" bestFit="1" customWidth="1"/>
    <col min="32" max="32" width="15.5703125" style="22" customWidth="1"/>
    <col min="33" max="33" width="18" style="22" bestFit="1" customWidth="1"/>
    <col min="34" max="34" width="18.7109375" style="22" bestFit="1" customWidth="1"/>
    <col min="35" max="35" width="19.42578125" style="22" bestFit="1" customWidth="1"/>
    <col min="36" max="37" width="15.5703125" style="22" customWidth="1"/>
    <col min="38" max="38" width="2.28515625" style="1" customWidth="1"/>
    <col min="39" max="39" width="14" style="22" bestFit="1" customWidth="1"/>
    <col min="40" max="43" width="11.42578125" style="22"/>
    <col min="44" max="44" width="12.7109375" style="22" bestFit="1" customWidth="1"/>
    <col min="45" max="16384" width="11.42578125" style="22"/>
  </cols>
  <sheetData>
    <row r="1" spans="1:246" x14ac:dyDescent="0.2">
      <c r="AL1" s="22"/>
    </row>
    <row r="2" spans="1:246" s="26" customFormat="1" ht="15" x14ac:dyDescent="0.25">
      <c r="A2" s="97" t="s">
        <v>0</v>
      </c>
      <c r="B2" s="103" t="s">
        <v>77</v>
      </c>
      <c r="C2" s="103" t="s">
        <v>77</v>
      </c>
      <c r="D2" s="103" t="s">
        <v>77</v>
      </c>
      <c r="E2" s="103" t="s">
        <v>51</v>
      </c>
      <c r="F2" s="103" t="s">
        <v>51</v>
      </c>
      <c r="G2" s="103" t="s">
        <v>51</v>
      </c>
      <c r="H2" s="103" t="s">
        <v>71</v>
      </c>
      <c r="I2" s="103" t="s">
        <v>69</v>
      </c>
      <c r="J2" s="103" t="s">
        <v>69</v>
      </c>
      <c r="K2" s="103" t="s">
        <v>70</v>
      </c>
      <c r="L2" s="103" t="s">
        <v>74</v>
      </c>
      <c r="M2" s="103" t="s">
        <v>81</v>
      </c>
      <c r="N2" s="103" t="s">
        <v>81</v>
      </c>
      <c r="O2" s="103" t="s">
        <v>81</v>
      </c>
      <c r="P2" s="103" t="s">
        <v>81</v>
      </c>
      <c r="Q2" s="103" t="s">
        <v>64</v>
      </c>
      <c r="R2" s="103" t="s">
        <v>64</v>
      </c>
      <c r="S2" s="103" t="s">
        <v>64</v>
      </c>
      <c r="T2" s="103" t="s">
        <v>66</v>
      </c>
      <c r="U2" s="103" t="s">
        <v>67</v>
      </c>
      <c r="V2" s="103" t="s">
        <v>75</v>
      </c>
      <c r="W2" s="103" t="s">
        <v>75</v>
      </c>
      <c r="X2" s="103" t="s">
        <v>82</v>
      </c>
      <c r="Y2" s="103" t="s">
        <v>82</v>
      </c>
      <c r="Z2" s="103" t="s">
        <v>64</v>
      </c>
      <c r="AA2" s="103" t="s">
        <v>64</v>
      </c>
      <c r="AB2" s="103" t="s">
        <v>76</v>
      </c>
      <c r="AC2" s="103" t="s">
        <v>79</v>
      </c>
      <c r="AD2" s="103" t="s">
        <v>66</v>
      </c>
      <c r="AE2" s="103" t="s">
        <v>64</v>
      </c>
      <c r="AF2" s="103" t="s">
        <v>77</v>
      </c>
      <c r="AG2" s="103" t="s">
        <v>74</v>
      </c>
      <c r="AH2" s="103" t="s">
        <v>74</v>
      </c>
      <c r="AI2" s="103" t="s">
        <v>74</v>
      </c>
      <c r="AJ2" s="103" t="s">
        <v>69</v>
      </c>
      <c r="AK2" s="103" t="s">
        <v>81</v>
      </c>
      <c r="AL2" s="23"/>
      <c r="AM2" s="103" t="s">
        <v>1</v>
      </c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</row>
    <row r="3" spans="1:246" ht="15.75" x14ac:dyDescent="0.25">
      <c r="A3" s="27"/>
      <c r="B3" s="28"/>
      <c r="C3" s="28"/>
      <c r="D3" s="28"/>
      <c r="E3" s="28"/>
      <c r="F3" s="28"/>
      <c r="G3" s="28"/>
      <c r="H3" s="28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29"/>
      <c r="AM3" s="104"/>
    </row>
    <row r="4" spans="1:246" s="26" customFormat="1" ht="26.25" x14ac:dyDescent="0.25">
      <c r="A4" s="97" t="s">
        <v>2</v>
      </c>
      <c r="B4" s="216" t="s">
        <v>87</v>
      </c>
      <c r="C4" s="216" t="s">
        <v>99</v>
      </c>
      <c r="D4" s="216" t="s">
        <v>100</v>
      </c>
      <c r="E4" s="216" t="s">
        <v>88</v>
      </c>
      <c r="F4" s="216" t="s">
        <v>102</v>
      </c>
      <c r="G4" s="216" t="s">
        <v>112</v>
      </c>
      <c r="H4" s="216" t="s">
        <v>89</v>
      </c>
      <c r="I4" s="216" t="s">
        <v>97</v>
      </c>
      <c r="J4" s="216" t="s">
        <v>104</v>
      </c>
      <c r="K4" s="216" t="s">
        <v>98</v>
      </c>
      <c r="L4" s="216" t="s">
        <v>90</v>
      </c>
      <c r="M4" s="216" t="s">
        <v>91</v>
      </c>
      <c r="N4" s="216" t="s">
        <v>92</v>
      </c>
      <c r="O4" s="216" t="s">
        <v>103</v>
      </c>
      <c r="P4" s="216" t="s">
        <v>101</v>
      </c>
      <c r="Q4" s="216" t="s">
        <v>94</v>
      </c>
      <c r="R4" s="216" t="s">
        <v>95</v>
      </c>
      <c r="S4" s="216" t="s">
        <v>93</v>
      </c>
      <c r="T4" s="216" t="s">
        <v>96</v>
      </c>
      <c r="U4" s="216" t="s">
        <v>105</v>
      </c>
      <c r="V4" s="216" t="s">
        <v>106</v>
      </c>
      <c r="W4" s="216" t="s">
        <v>107</v>
      </c>
      <c r="X4" s="216" t="s">
        <v>106</v>
      </c>
      <c r="Y4" s="216" t="s">
        <v>107</v>
      </c>
      <c r="Z4" s="216" t="s">
        <v>108</v>
      </c>
      <c r="AA4" s="216" t="s">
        <v>109</v>
      </c>
      <c r="AB4" s="216" t="s">
        <v>110</v>
      </c>
      <c r="AC4" s="216" t="s">
        <v>110</v>
      </c>
      <c r="AD4" s="216" t="s">
        <v>111</v>
      </c>
      <c r="AE4" s="216" t="s">
        <v>113</v>
      </c>
      <c r="AF4" s="216" t="s">
        <v>114</v>
      </c>
      <c r="AG4" s="216" t="s">
        <v>115</v>
      </c>
      <c r="AH4" s="216" t="s">
        <v>116</v>
      </c>
      <c r="AI4" s="216" t="s">
        <v>117</v>
      </c>
      <c r="AJ4" s="216" t="s">
        <v>118</v>
      </c>
      <c r="AK4" s="216" t="s">
        <v>119</v>
      </c>
      <c r="AL4" s="30"/>
      <c r="AM4" s="220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</row>
    <row r="5" spans="1:246" ht="12.75" customHeight="1" x14ac:dyDescent="0.2">
      <c r="A5" s="2"/>
      <c r="B5" s="31"/>
      <c r="C5" s="31"/>
      <c r="D5" s="31"/>
      <c r="E5" s="31"/>
      <c r="F5" s="31"/>
      <c r="G5" s="31"/>
      <c r="H5" s="3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7"/>
      <c r="AM5" s="21"/>
    </row>
    <row r="6" spans="1:246" s="26" customFormat="1" ht="15" x14ac:dyDescent="0.25">
      <c r="A6" s="97" t="s">
        <v>3</v>
      </c>
      <c r="B6" s="19" t="s">
        <v>52</v>
      </c>
      <c r="C6" s="19" t="s">
        <v>86</v>
      </c>
      <c r="D6" s="19" t="s">
        <v>52</v>
      </c>
      <c r="E6" s="19" t="s">
        <v>52</v>
      </c>
      <c r="F6" s="19" t="s">
        <v>52</v>
      </c>
      <c r="G6" s="19" t="s">
        <v>52</v>
      </c>
      <c r="H6" s="19" t="s">
        <v>86</v>
      </c>
      <c r="I6" s="19" t="s">
        <v>86</v>
      </c>
      <c r="J6" s="19" t="s">
        <v>86</v>
      </c>
      <c r="K6" s="19" t="s">
        <v>52</v>
      </c>
      <c r="L6" s="19" t="s">
        <v>86</v>
      </c>
      <c r="M6" s="19" t="s">
        <v>86</v>
      </c>
      <c r="N6" s="19" t="s">
        <v>86</v>
      </c>
      <c r="O6" s="19" t="s">
        <v>86</v>
      </c>
      <c r="P6" s="19" t="s">
        <v>86</v>
      </c>
      <c r="Q6" s="19" t="s">
        <v>86</v>
      </c>
      <c r="R6" s="19" t="s">
        <v>86</v>
      </c>
      <c r="S6" s="19" t="s">
        <v>86</v>
      </c>
      <c r="T6" s="19" t="s">
        <v>52</v>
      </c>
      <c r="U6" s="19" t="s">
        <v>86</v>
      </c>
      <c r="V6" s="19" t="s">
        <v>86</v>
      </c>
      <c r="W6" s="19" t="s">
        <v>86</v>
      </c>
      <c r="X6" s="19" t="s">
        <v>86</v>
      </c>
      <c r="Y6" s="19" t="s">
        <v>86</v>
      </c>
      <c r="Z6" s="19" t="s">
        <v>86</v>
      </c>
      <c r="AA6" s="19" t="s">
        <v>86</v>
      </c>
      <c r="AB6" s="19" t="s">
        <v>86</v>
      </c>
      <c r="AC6" s="19" t="s">
        <v>86</v>
      </c>
      <c r="AD6" s="19" t="s">
        <v>52</v>
      </c>
      <c r="AE6" s="19" t="s">
        <v>86</v>
      </c>
      <c r="AF6" s="19" t="s">
        <v>86</v>
      </c>
      <c r="AG6" s="19" t="s">
        <v>52</v>
      </c>
      <c r="AH6" s="19" t="s">
        <v>86</v>
      </c>
      <c r="AI6" s="19" t="s">
        <v>86</v>
      </c>
      <c r="AJ6" s="19" t="s">
        <v>86</v>
      </c>
      <c r="AK6" s="19" t="s">
        <v>86</v>
      </c>
      <c r="AL6" s="32"/>
      <c r="AM6" s="221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</row>
    <row r="7" spans="1:246" x14ac:dyDescent="0.2">
      <c r="A7" s="33" t="s">
        <v>4</v>
      </c>
      <c r="B7" s="34">
        <v>1260000000</v>
      </c>
      <c r="C7" s="34"/>
      <c r="D7" s="34">
        <v>900000000</v>
      </c>
      <c r="E7" s="34">
        <v>100000000</v>
      </c>
      <c r="F7" s="34">
        <v>125000000</v>
      </c>
      <c r="G7" s="34">
        <v>125000000</v>
      </c>
      <c r="H7" s="34"/>
      <c r="I7" s="35"/>
      <c r="J7" s="35"/>
      <c r="K7" s="35">
        <v>68130000</v>
      </c>
      <c r="L7" s="35">
        <v>500000000</v>
      </c>
      <c r="M7" s="35">
        <v>38595000</v>
      </c>
      <c r="N7" s="35">
        <v>5623000</v>
      </c>
      <c r="O7" s="35">
        <v>4600000</v>
      </c>
      <c r="P7" s="35">
        <v>9140000</v>
      </c>
      <c r="Q7" s="35"/>
      <c r="R7" s="35">
        <v>142155000</v>
      </c>
      <c r="S7" s="35">
        <v>24290000</v>
      </c>
      <c r="T7" s="177"/>
      <c r="U7" s="35">
        <v>24798000</v>
      </c>
      <c r="V7" s="35">
        <v>68780000</v>
      </c>
      <c r="W7" s="35">
        <v>34225000</v>
      </c>
      <c r="X7" s="35">
        <v>73010000</v>
      </c>
      <c r="Y7" s="35">
        <v>70730000</v>
      </c>
      <c r="Z7" s="35">
        <v>39675000</v>
      </c>
      <c r="AA7" s="35">
        <v>137270000</v>
      </c>
      <c r="AB7" s="35"/>
      <c r="AC7" s="35"/>
      <c r="AD7" s="35">
        <v>92920000</v>
      </c>
      <c r="AE7" s="35">
        <v>67250000</v>
      </c>
      <c r="AF7" s="35"/>
      <c r="AG7" s="35"/>
      <c r="AH7" s="35"/>
      <c r="AI7" s="35"/>
      <c r="AJ7" s="35"/>
      <c r="AK7" s="35">
        <v>25377000</v>
      </c>
      <c r="AL7" s="36"/>
      <c r="AM7" s="222">
        <f>SUM(B7:AK7)</f>
        <v>3936568000</v>
      </c>
    </row>
    <row r="8" spans="1:246" x14ac:dyDescent="0.2">
      <c r="A8" s="37" t="s">
        <v>5</v>
      </c>
      <c r="B8" s="34"/>
      <c r="C8" s="34">
        <v>1608339800</v>
      </c>
      <c r="D8" s="34">
        <v>930160000</v>
      </c>
      <c r="E8" s="34"/>
      <c r="F8" s="34"/>
      <c r="G8" s="34"/>
      <c r="H8" s="34">
        <v>47915000</v>
      </c>
      <c r="I8" s="35">
        <v>250700000</v>
      </c>
      <c r="J8" s="35">
        <v>197970000</v>
      </c>
      <c r="K8" s="35"/>
      <c r="L8" s="35"/>
      <c r="M8" s="35"/>
      <c r="N8" s="35"/>
      <c r="O8" s="35"/>
      <c r="P8" s="35"/>
      <c r="Q8" s="35">
        <v>64670000</v>
      </c>
      <c r="R8" s="35"/>
      <c r="S8" s="35">
        <v>152635000</v>
      </c>
      <c r="T8" s="107">
        <v>119945000</v>
      </c>
      <c r="U8" s="34"/>
      <c r="V8" s="35">
        <v>114780000</v>
      </c>
      <c r="W8" s="35">
        <v>97935000</v>
      </c>
      <c r="X8" s="35">
        <v>245000</v>
      </c>
      <c r="Y8" s="35">
        <v>174585000</v>
      </c>
      <c r="Z8" s="35">
        <v>103880000</v>
      </c>
      <c r="AA8" s="35">
        <v>8175000</v>
      </c>
      <c r="AB8" s="35">
        <v>38265000</v>
      </c>
      <c r="AC8" s="35">
        <v>48410000</v>
      </c>
      <c r="AD8" s="35"/>
      <c r="AE8" s="35"/>
      <c r="AF8" s="35">
        <v>781080000</v>
      </c>
      <c r="AG8" s="35">
        <v>135105000</v>
      </c>
      <c r="AH8" s="35">
        <v>79065000</v>
      </c>
      <c r="AI8" s="35">
        <v>57090000</v>
      </c>
      <c r="AJ8" s="35">
        <v>220565000</v>
      </c>
      <c r="AK8" s="35"/>
      <c r="AL8" s="38"/>
      <c r="AM8" s="35">
        <f>SUM(B8:AK8)</f>
        <v>5231514800</v>
      </c>
    </row>
    <row r="9" spans="1:246" s="41" customFormat="1" x14ac:dyDescent="0.2">
      <c r="A9" s="39" t="s">
        <v>6</v>
      </c>
      <c r="B9" s="178">
        <f t="shared" ref="B9:AK9" si="0">B7+B8</f>
        <v>1260000000</v>
      </c>
      <c r="C9" s="178">
        <f t="shared" si="0"/>
        <v>1608339800</v>
      </c>
      <c r="D9" s="178">
        <f t="shared" si="0"/>
        <v>1830160000</v>
      </c>
      <c r="E9" s="178">
        <f t="shared" si="0"/>
        <v>100000000</v>
      </c>
      <c r="F9" s="178">
        <f t="shared" si="0"/>
        <v>125000000</v>
      </c>
      <c r="G9" s="178">
        <f t="shared" si="0"/>
        <v>125000000</v>
      </c>
      <c r="H9" s="178">
        <f t="shared" si="0"/>
        <v>47915000</v>
      </c>
      <c r="I9" s="178">
        <f t="shared" si="0"/>
        <v>250700000</v>
      </c>
      <c r="J9" s="178">
        <f t="shared" si="0"/>
        <v>197970000</v>
      </c>
      <c r="K9" s="178">
        <f t="shared" si="0"/>
        <v>68130000</v>
      </c>
      <c r="L9" s="178">
        <f t="shared" si="0"/>
        <v>500000000</v>
      </c>
      <c r="M9" s="178">
        <f t="shared" si="0"/>
        <v>38595000</v>
      </c>
      <c r="N9" s="178">
        <f t="shared" si="0"/>
        <v>5623000</v>
      </c>
      <c r="O9" s="178">
        <f t="shared" si="0"/>
        <v>4600000</v>
      </c>
      <c r="P9" s="178">
        <f t="shared" si="0"/>
        <v>9140000</v>
      </c>
      <c r="Q9" s="178">
        <f t="shared" si="0"/>
        <v>64670000</v>
      </c>
      <c r="R9" s="178">
        <f t="shared" si="0"/>
        <v>142155000</v>
      </c>
      <c r="S9" s="178">
        <f t="shared" si="0"/>
        <v>176925000</v>
      </c>
      <c r="T9" s="179">
        <f t="shared" si="0"/>
        <v>119945000</v>
      </c>
      <c r="U9" s="178">
        <f t="shared" si="0"/>
        <v>24798000</v>
      </c>
      <c r="V9" s="178">
        <f t="shared" si="0"/>
        <v>183560000</v>
      </c>
      <c r="W9" s="178">
        <f t="shared" si="0"/>
        <v>132160000</v>
      </c>
      <c r="X9" s="178">
        <f t="shared" si="0"/>
        <v>73255000</v>
      </c>
      <c r="Y9" s="178">
        <f t="shared" si="0"/>
        <v>245315000</v>
      </c>
      <c r="Z9" s="178">
        <f t="shared" si="0"/>
        <v>143555000</v>
      </c>
      <c r="AA9" s="178">
        <f t="shared" si="0"/>
        <v>145445000</v>
      </c>
      <c r="AB9" s="178">
        <f t="shared" si="0"/>
        <v>38265000</v>
      </c>
      <c r="AC9" s="178">
        <f t="shared" si="0"/>
        <v>48410000</v>
      </c>
      <c r="AD9" s="178">
        <f t="shared" si="0"/>
        <v>92920000</v>
      </c>
      <c r="AE9" s="178">
        <f t="shared" si="0"/>
        <v>67250000</v>
      </c>
      <c r="AF9" s="178">
        <f t="shared" si="0"/>
        <v>781080000</v>
      </c>
      <c r="AG9" s="178">
        <f t="shared" si="0"/>
        <v>135105000</v>
      </c>
      <c r="AH9" s="178">
        <f t="shared" si="0"/>
        <v>79065000</v>
      </c>
      <c r="AI9" s="178">
        <f t="shared" si="0"/>
        <v>57090000</v>
      </c>
      <c r="AJ9" s="178">
        <f t="shared" si="0"/>
        <v>220565000</v>
      </c>
      <c r="AK9" s="178">
        <f t="shared" si="0"/>
        <v>25377000</v>
      </c>
      <c r="AL9" s="180"/>
      <c r="AM9" s="223">
        <f>SUM(B9:AK9)</f>
        <v>9168082800</v>
      </c>
      <c r="AN9" s="22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</row>
    <row r="10" spans="1:246" ht="12.75" customHeight="1" x14ac:dyDescent="0.2">
      <c r="A10" s="33"/>
      <c r="B10" s="181"/>
      <c r="C10" s="181"/>
      <c r="D10" s="181"/>
      <c r="E10" s="181"/>
      <c r="F10" s="181"/>
      <c r="G10" s="181"/>
      <c r="H10" s="181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3"/>
      <c r="AM10" s="224"/>
      <c r="AN10" s="40"/>
    </row>
    <row r="11" spans="1:246" s="43" customFormat="1" ht="15" x14ac:dyDescent="0.25">
      <c r="A11" s="98" t="s">
        <v>7</v>
      </c>
      <c r="B11" s="42" t="s">
        <v>8</v>
      </c>
      <c r="C11" s="42" t="s">
        <v>8</v>
      </c>
      <c r="D11" s="42" t="s">
        <v>8</v>
      </c>
      <c r="E11" s="42" t="s">
        <v>8</v>
      </c>
      <c r="F11" s="42" t="s">
        <v>8</v>
      </c>
      <c r="G11" s="42" t="s">
        <v>8</v>
      </c>
      <c r="H11" s="42" t="s">
        <v>84</v>
      </c>
      <c r="I11" s="42" t="s">
        <v>8</v>
      </c>
      <c r="J11" s="42" t="s">
        <v>8</v>
      </c>
      <c r="K11" s="42" t="s">
        <v>84</v>
      </c>
      <c r="L11" s="42" t="s">
        <v>8</v>
      </c>
      <c r="M11" s="42" t="s">
        <v>8</v>
      </c>
      <c r="N11" s="42" t="s">
        <v>85</v>
      </c>
      <c r="O11" s="42" t="s">
        <v>85</v>
      </c>
      <c r="P11" s="42" t="s">
        <v>8</v>
      </c>
      <c r="Q11" s="42" t="s">
        <v>8</v>
      </c>
      <c r="R11" s="42" t="s">
        <v>8</v>
      </c>
      <c r="S11" s="42" t="s">
        <v>8</v>
      </c>
      <c r="T11" s="42" t="s">
        <v>8</v>
      </c>
      <c r="U11" s="42" t="s">
        <v>85</v>
      </c>
      <c r="V11" s="42" t="s">
        <v>8</v>
      </c>
      <c r="W11" s="42" t="s">
        <v>8</v>
      </c>
      <c r="X11" s="42" t="s">
        <v>8</v>
      </c>
      <c r="Y11" s="42" t="s">
        <v>8</v>
      </c>
      <c r="Z11" s="42" t="s">
        <v>84</v>
      </c>
      <c r="AA11" s="42" t="s">
        <v>84</v>
      </c>
      <c r="AB11" s="42" t="s">
        <v>85</v>
      </c>
      <c r="AC11" s="42" t="s">
        <v>85</v>
      </c>
      <c r="AD11" s="42" t="s">
        <v>8</v>
      </c>
      <c r="AE11" s="42" t="s">
        <v>84</v>
      </c>
      <c r="AF11" s="42" t="s">
        <v>8</v>
      </c>
      <c r="AG11" s="42" t="s">
        <v>8</v>
      </c>
      <c r="AH11" s="42" t="s">
        <v>8</v>
      </c>
      <c r="AI11" s="42" t="s">
        <v>8</v>
      </c>
      <c r="AJ11" s="42" t="s">
        <v>8</v>
      </c>
      <c r="AK11" s="42" t="s">
        <v>85</v>
      </c>
      <c r="AL11" s="5"/>
      <c r="AM11" s="225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</row>
    <row r="12" spans="1:246" s="47" customFormat="1" ht="15" x14ac:dyDescent="0.25">
      <c r="A12" s="99" t="s">
        <v>47</v>
      </c>
      <c r="B12" s="44">
        <v>41927</v>
      </c>
      <c r="C12" s="44">
        <v>42039</v>
      </c>
      <c r="D12" s="44">
        <v>41991</v>
      </c>
      <c r="E12" s="44">
        <v>41892</v>
      </c>
      <c r="F12" s="44">
        <v>42046</v>
      </c>
      <c r="G12" s="44">
        <v>42207</v>
      </c>
      <c r="H12" s="44">
        <v>41961</v>
      </c>
      <c r="I12" s="44">
        <v>41967</v>
      </c>
      <c r="J12" s="44">
        <v>42096</v>
      </c>
      <c r="K12" s="44">
        <v>41991</v>
      </c>
      <c r="L12" s="44">
        <v>41912</v>
      </c>
      <c r="M12" s="44">
        <v>41968</v>
      </c>
      <c r="N12" s="44">
        <v>41968</v>
      </c>
      <c r="O12" s="44">
        <v>42003</v>
      </c>
      <c r="P12" s="44">
        <v>41976</v>
      </c>
      <c r="Q12" s="44">
        <v>42053</v>
      </c>
      <c r="R12" s="44">
        <v>42053</v>
      </c>
      <c r="S12" s="44">
        <v>42031</v>
      </c>
      <c r="T12" s="44">
        <v>42040</v>
      </c>
      <c r="U12" s="44">
        <v>42045</v>
      </c>
      <c r="V12" s="44">
        <v>42081</v>
      </c>
      <c r="W12" s="44">
        <v>42081</v>
      </c>
      <c r="X12" s="44">
        <v>42103</v>
      </c>
      <c r="Y12" s="44">
        <v>42103</v>
      </c>
      <c r="Z12" s="44">
        <v>42117</v>
      </c>
      <c r="AA12" s="44">
        <v>42117</v>
      </c>
      <c r="AB12" s="44">
        <v>42124</v>
      </c>
      <c r="AC12" s="44">
        <v>42125</v>
      </c>
      <c r="AD12" s="44">
        <v>42173</v>
      </c>
      <c r="AE12" s="44">
        <v>42208</v>
      </c>
      <c r="AF12" s="44">
        <v>42207</v>
      </c>
      <c r="AG12" s="44">
        <v>42129</v>
      </c>
      <c r="AH12" s="44">
        <v>42136</v>
      </c>
      <c r="AI12" s="44">
        <v>42185</v>
      </c>
      <c r="AJ12" s="44">
        <v>42241</v>
      </c>
      <c r="AK12" s="44">
        <v>42229</v>
      </c>
      <c r="AL12" s="46"/>
      <c r="AM12" s="226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</row>
    <row r="13" spans="1:246" s="26" customFormat="1" ht="12.75" customHeight="1" thickBot="1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51"/>
      <c r="AM13" s="227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</row>
    <row r="14" spans="1:246" ht="15" x14ac:dyDescent="0.25">
      <c r="A14" s="95" t="s">
        <v>9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8"/>
      <c r="AK14" s="108"/>
      <c r="AL14" s="13"/>
      <c r="AM14" s="108"/>
    </row>
    <row r="15" spans="1:246" x14ac:dyDescent="0.2">
      <c r="A15" s="3" t="s">
        <v>10</v>
      </c>
      <c r="B15" s="53">
        <v>176000</v>
      </c>
      <c r="C15" s="53">
        <v>1191547</v>
      </c>
      <c r="D15" s="53">
        <v>308016</v>
      </c>
      <c r="E15" s="53">
        <v>75000</v>
      </c>
      <c r="F15" s="53">
        <v>93750</v>
      </c>
      <c r="G15" s="53">
        <v>93750</v>
      </c>
      <c r="H15" s="53">
        <v>68000</v>
      </c>
      <c r="I15" s="53">
        <v>113422</v>
      </c>
      <c r="J15" s="53">
        <v>100000</v>
      </c>
      <c r="K15" s="53">
        <v>65805</v>
      </c>
      <c r="L15" s="53">
        <v>409291</v>
      </c>
      <c r="M15" s="53">
        <v>111250</v>
      </c>
      <c r="N15" s="53">
        <v>10250</v>
      </c>
      <c r="O15" s="53">
        <v>14675</v>
      </c>
      <c r="P15" s="53">
        <v>135000</v>
      </c>
      <c r="Q15" s="53">
        <v>21571</v>
      </c>
      <c r="R15" s="53">
        <v>47416</v>
      </c>
      <c r="S15" s="53">
        <v>99011</v>
      </c>
      <c r="T15" s="53">
        <v>66515</v>
      </c>
      <c r="U15" s="53">
        <v>135000</v>
      </c>
      <c r="V15" s="53">
        <v>74313</v>
      </c>
      <c r="W15" s="53">
        <v>53504</v>
      </c>
      <c r="X15" s="53">
        <v>70167</v>
      </c>
      <c r="Y15" s="53">
        <v>200676</v>
      </c>
      <c r="Z15" s="53">
        <v>65395</v>
      </c>
      <c r="AA15" s="53">
        <v>66255</v>
      </c>
      <c r="AB15" s="53">
        <v>47500</v>
      </c>
      <c r="AC15" s="53">
        <v>34467</v>
      </c>
      <c r="AD15" s="53">
        <v>51903</v>
      </c>
      <c r="AE15" s="53">
        <v>49125</v>
      </c>
      <c r="AF15" s="53">
        <v>156215</v>
      </c>
      <c r="AG15" s="53">
        <v>75000</v>
      </c>
      <c r="AH15" s="53">
        <v>85000</v>
      </c>
      <c r="AI15" s="53">
        <v>42500</v>
      </c>
      <c r="AJ15" s="109">
        <v>99698</v>
      </c>
      <c r="AK15" s="109">
        <v>121500</v>
      </c>
      <c r="AL15" s="54"/>
      <c r="AM15" s="109">
        <f t="shared" ref="AM15:AM34" si="1">SUM(B15:AK15)</f>
        <v>4628487</v>
      </c>
    </row>
    <row r="16" spans="1:246" x14ac:dyDescent="0.2">
      <c r="A16" s="3" t="s">
        <v>31</v>
      </c>
      <c r="B16" s="53"/>
      <c r="C16" s="53"/>
      <c r="D16" s="53"/>
      <c r="E16" s="53">
        <v>20250</v>
      </c>
      <c r="F16" s="53">
        <v>21938</v>
      </c>
      <c r="G16" s="53">
        <v>21970</v>
      </c>
      <c r="H16" s="53"/>
      <c r="I16" s="53"/>
      <c r="J16" s="53"/>
      <c r="K16" s="53"/>
      <c r="L16" s="53">
        <v>211793</v>
      </c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109"/>
      <c r="AK16" s="109"/>
      <c r="AL16" s="54"/>
      <c r="AM16" s="109">
        <f t="shared" si="1"/>
        <v>275951</v>
      </c>
    </row>
    <row r="17" spans="1:44" x14ac:dyDescent="0.2">
      <c r="A17" s="3" t="s">
        <v>11</v>
      </c>
      <c r="B17" s="53">
        <v>103341</v>
      </c>
      <c r="C17" s="53">
        <v>228162</v>
      </c>
      <c r="D17" s="53">
        <v>114761</v>
      </c>
      <c r="E17" s="53">
        <v>36500</v>
      </c>
      <c r="F17" s="53">
        <v>45250</v>
      </c>
      <c r="G17" s="53">
        <v>43750</v>
      </c>
      <c r="H17" s="53">
        <v>50086</v>
      </c>
      <c r="I17" s="53"/>
      <c r="J17" s="53"/>
      <c r="K17" s="53">
        <v>34065</v>
      </c>
      <c r="L17" s="53">
        <v>285830</v>
      </c>
      <c r="M17" s="53">
        <v>155989</v>
      </c>
      <c r="N17" s="53">
        <v>22726</v>
      </c>
      <c r="O17" s="53"/>
      <c r="P17" s="53">
        <v>40750</v>
      </c>
      <c r="Q17" s="53">
        <v>32419</v>
      </c>
      <c r="R17" s="53">
        <v>71263</v>
      </c>
      <c r="S17" s="53">
        <v>88693</v>
      </c>
      <c r="T17" s="53">
        <v>104687</v>
      </c>
      <c r="U17" s="53">
        <v>70000</v>
      </c>
      <c r="V17" s="53">
        <v>115597</v>
      </c>
      <c r="W17" s="53">
        <v>83228</v>
      </c>
      <c r="X17" s="53">
        <v>37774</v>
      </c>
      <c r="Y17" s="53">
        <v>126508</v>
      </c>
      <c r="Z17" s="53">
        <v>72026</v>
      </c>
      <c r="AA17" s="53">
        <v>72974</v>
      </c>
      <c r="AB17" s="53">
        <v>19633</v>
      </c>
      <c r="AC17" s="53">
        <v>24705</v>
      </c>
      <c r="AD17" s="53">
        <v>89026</v>
      </c>
      <c r="AE17" s="53">
        <v>33825</v>
      </c>
      <c r="AF17" s="53">
        <v>105000</v>
      </c>
      <c r="AG17" s="53">
        <v>69989</v>
      </c>
      <c r="AH17" s="53">
        <v>84376</v>
      </c>
      <c r="AI17" s="53">
        <v>51126</v>
      </c>
      <c r="AJ17" s="109"/>
      <c r="AK17" s="109">
        <v>104008</v>
      </c>
      <c r="AL17" s="54"/>
      <c r="AM17" s="109">
        <f t="shared" si="1"/>
        <v>2618067</v>
      </c>
    </row>
    <row r="18" spans="1:44" x14ac:dyDescent="0.2">
      <c r="A18" s="3" t="s">
        <v>72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109"/>
      <c r="AK18" s="109"/>
      <c r="AL18" s="54"/>
      <c r="AM18" s="109">
        <f t="shared" si="1"/>
        <v>0</v>
      </c>
    </row>
    <row r="19" spans="1:44" x14ac:dyDescent="0.2">
      <c r="A19" s="3" t="s">
        <v>12</v>
      </c>
      <c r="B19" s="53">
        <v>1863</v>
      </c>
      <c r="C19" s="53">
        <v>6721</v>
      </c>
      <c r="D19" s="53">
        <v>2199</v>
      </c>
      <c r="E19" s="53">
        <v>920</v>
      </c>
      <c r="F19" s="53">
        <v>910</v>
      </c>
      <c r="G19" s="53">
        <v>1159</v>
      </c>
      <c r="H19" s="53">
        <v>485</v>
      </c>
      <c r="I19" s="53">
        <v>1616</v>
      </c>
      <c r="J19" s="53">
        <v>1446</v>
      </c>
      <c r="K19" s="53">
        <v>2057</v>
      </c>
      <c r="L19" s="53">
        <v>2342</v>
      </c>
      <c r="M19" s="53">
        <v>2521</v>
      </c>
      <c r="N19" s="53"/>
      <c r="O19" s="53"/>
      <c r="P19" s="53">
        <v>3000</v>
      </c>
      <c r="Q19" s="53">
        <v>2130</v>
      </c>
      <c r="R19" s="53">
        <v>2130</v>
      </c>
      <c r="S19" s="53">
        <v>4260</v>
      </c>
      <c r="T19" s="53">
        <v>1579</v>
      </c>
      <c r="U19" s="53"/>
      <c r="V19" s="53">
        <v>2853</v>
      </c>
      <c r="W19" s="53">
        <v>2267</v>
      </c>
      <c r="X19" s="53">
        <v>4260</v>
      </c>
      <c r="Y19" s="53">
        <v>4260</v>
      </c>
      <c r="Z19" s="53">
        <v>2510</v>
      </c>
      <c r="AA19" s="53">
        <v>2510</v>
      </c>
      <c r="AB19" s="53"/>
      <c r="AC19" s="53"/>
      <c r="AD19" s="53">
        <v>1144</v>
      </c>
      <c r="AE19" s="53">
        <v>4260</v>
      </c>
      <c r="AF19" s="53">
        <v>5990</v>
      </c>
      <c r="AG19" s="53">
        <v>1606</v>
      </c>
      <c r="AH19" s="53">
        <v>1787</v>
      </c>
      <c r="AI19" s="53">
        <v>635</v>
      </c>
      <c r="AJ19" s="109">
        <v>1392</v>
      </c>
      <c r="AK19" s="109"/>
      <c r="AL19" s="54"/>
      <c r="AM19" s="109">
        <f t="shared" si="1"/>
        <v>72812</v>
      </c>
    </row>
    <row r="20" spans="1:44" x14ac:dyDescent="0.2">
      <c r="A20" s="3" t="s">
        <v>13</v>
      </c>
      <c r="B20" s="53">
        <v>175</v>
      </c>
      <c r="C20" s="53">
        <v>6100</v>
      </c>
      <c r="D20" s="53">
        <v>1400</v>
      </c>
      <c r="E20" s="53"/>
      <c r="F20" s="53"/>
      <c r="G20" s="53"/>
      <c r="H20" s="53">
        <v>3000</v>
      </c>
      <c r="I20" s="53">
        <v>4750</v>
      </c>
      <c r="J20" s="53">
        <v>3500</v>
      </c>
      <c r="K20" s="53">
        <v>1500</v>
      </c>
      <c r="L20" s="53"/>
      <c r="M20" s="53"/>
      <c r="N20" s="53"/>
      <c r="O20" s="53"/>
      <c r="P20" s="53"/>
      <c r="Q20" s="53">
        <v>2800</v>
      </c>
      <c r="R20" s="53">
        <v>2800</v>
      </c>
      <c r="S20" s="53">
        <v>5750</v>
      </c>
      <c r="T20" s="53">
        <v>4500</v>
      </c>
      <c r="U20" s="53"/>
      <c r="V20" s="53">
        <v>3000</v>
      </c>
      <c r="W20" s="53">
        <v>3000</v>
      </c>
      <c r="X20" s="53">
        <v>3800</v>
      </c>
      <c r="Y20" s="53">
        <v>3800</v>
      </c>
      <c r="Z20" s="53">
        <v>3500</v>
      </c>
      <c r="AA20" s="53">
        <v>3500</v>
      </c>
      <c r="AB20" s="53"/>
      <c r="AC20" s="53"/>
      <c r="AD20" s="53">
        <v>1500</v>
      </c>
      <c r="AE20" s="53">
        <v>3500</v>
      </c>
      <c r="AF20" s="53">
        <v>1200</v>
      </c>
      <c r="AG20" s="53"/>
      <c r="AH20" s="53"/>
      <c r="AI20" s="53">
        <v>3150</v>
      </c>
      <c r="AJ20" s="109">
        <v>3250</v>
      </c>
      <c r="AK20" s="109">
        <v>500</v>
      </c>
      <c r="AL20" s="54"/>
      <c r="AM20" s="109">
        <f t="shared" si="1"/>
        <v>69975</v>
      </c>
    </row>
    <row r="21" spans="1:44" x14ac:dyDescent="0.2">
      <c r="A21" s="3" t="s">
        <v>14</v>
      </c>
      <c r="B21" s="53">
        <v>126000</v>
      </c>
      <c r="C21" s="53">
        <v>381464</v>
      </c>
      <c r="D21" s="53">
        <v>183160</v>
      </c>
      <c r="E21" s="53"/>
      <c r="F21" s="53"/>
      <c r="G21" s="53"/>
      <c r="H21" s="53"/>
      <c r="I21" s="53">
        <v>35000</v>
      </c>
      <c r="J21" s="53"/>
      <c r="K21" s="53"/>
      <c r="L21" s="53">
        <v>114334</v>
      </c>
      <c r="M21" s="53">
        <v>50000</v>
      </c>
      <c r="N21" s="53"/>
      <c r="O21" s="53"/>
      <c r="P21" s="53">
        <v>25000</v>
      </c>
      <c r="Q21" s="53">
        <v>5056</v>
      </c>
      <c r="R21" s="53">
        <v>11113</v>
      </c>
      <c r="S21" s="53">
        <v>13831</v>
      </c>
      <c r="T21" s="53">
        <v>50547</v>
      </c>
      <c r="U21" s="53"/>
      <c r="V21" s="53"/>
      <c r="W21" s="53"/>
      <c r="X21" s="53"/>
      <c r="Y21" s="53"/>
      <c r="Z21" s="53">
        <v>14902</v>
      </c>
      <c r="AA21" s="53">
        <v>15098</v>
      </c>
      <c r="AB21" s="53"/>
      <c r="AC21" s="53"/>
      <c r="AD21" s="53">
        <v>32488</v>
      </c>
      <c r="AE21" s="53">
        <v>20000</v>
      </c>
      <c r="AF21" s="53">
        <v>78154</v>
      </c>
      <c r="AG21" s="53">
        <v>40000</v>
      </c>
      <c r="AH21" s="53">
        <v>50000</v>
      </c>
      <c r="AI21" s="53">
        <v>32500</v>
      </c>
      <c r="AJ21" s="109"/>
      <c r="AK21" s="109"/>
      <c r="AL21" s="54"/>
      <c r="AM21" s="109">
        <f t="shared" si="1"/>
        <v>1278647</v>
      </c>
      <c r="AR21" s="92"/>
    </row>
    <row r="22" spans="1:44" x14ac:dyDescent="0.2">
      <c r="A22" s="3" t="s">
        <v>15</v>
      </c>
      <c r="B22" s="53"/>
      <c r="C22" s="53"/>
      <c r="D22" s="53"/>
      <c r="E22" s="53"/>
      <c r="F22" s="53">
        <v>25000</v>
      </c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109"/>
      <c r="AK22" s="109"/>
      <c r="AL22" s="54"/>
      <c r="AM22" s="109">
        <f t="shared" si="1"/>
        <v>25000</v>
      </c>
      <c r="AR22" s="92"/>
    </row>
    <row r="23" spans="1:44" x14ac:dyDescent="0.2">
      <c r="A23" s="3" t="s">
        <v>16</v>
      </c>
      <c r="B23" s="53"/>
      <c r="C23" s="53"/>
      <c r="D23" s="53"/>
      <c r="E23" s="53">
        <v>15000</v>
      </c>
      <c r="F23" s="53">
        <v>3500</v>
      </c>
      <c r="G23" s="53">
        <v>20000</v>
      </c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109"/>
      <c r="AK23" s="109"/>
      <c r="AL23" s="54"/>
      <c r="AM23" s="109">
        <f t="shared" si="1"/>
        <v>38500</v>
      </c>
    </row>
    <row r="24" spans="1:44" x14ac:dyDescent="0.2">
      <c r="A24" s="3" t="s">
        <v>26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>
        <v>7000</v>
      </c>
      <c r="N24" s="53">
        <v>3000</v>
      </c>
      <c r="O24" s="53">
        <v>2000</v>
      </c>
      <c r="P24" s="53">
        <v>12000</v>
      </c>
      <c r="Q24" s="53"/>
      <c r="R24" s="53"/>
      <c r="S24" s="53"/>
      <c r="T24" s="53"/>
      <c r="U24" s="53">
        <v>6000</v>
      </c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109"/>
      <c r="AK24" s="109">
        <v>3000</v>
      </c>
      <c r="AL24" s="54"/>
      <c r="AM24" s="109">
        <f t="shared" si="1"/>
        <v>33000</v>
      </c>
    </row>
    <row r="25" spans="1:44" x14ac:dyDescent="0.2">
      <c r="A25" s="3" t="s">
        <v>27</v>
      </c>
      <c r="B25" s="53"/>
      <c r="C25" s="53">
        <v>15000</v>
      </c>
      <c r="D25" s="53"/>
      <c r="E25" s="53"/>
      <c r="F25" s="53"/>
      <c r="G25" s="53"/>
      <c r="H25" s="53"/>
      <c r="I25" s="53"/>
      <c r="J25" s="53"/>
      <c r="K25" s="53"/>
      <c r="L25" s="53"/>
      <c r="M25" s="53">
        <v>16000</v>
      </c>
      <c r="N25" s="53">
        <v>3500</v>
      </c>
      <c r="O25" s="53"/>
      <c r="P25" s="53">
        <v>7500</v>
      </c>
      <c r="Q25" s="53"/>
      <c r="R25" s="53"/>
      <c r="S25" s="53"/>
      <c r="T25" s="53"/>
      <c r="U25" s="53">
        <v>7500</v>
      </c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109"/>
      <c r="AK25" s="109">
        <v>7500</v>
      </c>
      <c r="AL25" s="54"/>
      <c r="AM25" s="109">
        <f t="shared" si="1"/>
        <v>57000</v>
      </c>
    </row>
    <row r="26" spans="1:44" x14ac:dyDescent="0.2">
      <c r="A26" s="3" t="s">
        <v>17</v>
      </c>
      <c r="B26" s="53"/>
      <c r="C26" s="53">
        <v>1000</v>
      </c>
      <c r="D26" s="53">
        <v>250</v>
      </c>
      <c r="E26" s="53"/>
      <c r="F26" s="53"/>
      <c r="G26" s="53"/>
      <c r="H26" s="53">
        <v>1500</v>
      </c>
      <c r="I26" s="53">
        <v>1500</v>
      </c>
      <c r="J26" s="53">
        <v>1000</v>
      </c>
      <c r="K26" s="53"/>
      <c r="L26" s="53"/>
      <c r="M26" s="53"/>
      <c r="N26" s="53"/>
      <c r="O26" s="53"/>
      <c r="P26" s="53"/>
      <c r="Q26" s="53">
        <v>500</v>
      </c>
      <c r="R26" s="53"/>
      <c r="S26" s="53">
        <v>500</v>
      </c>
      <c r="T26" s="53"/>
      <c r="U26" s="53"/>
      <c r="V26" s="53">
        <v>1500</v>
      </c>
      <c r="W26" s="53">
        <v>500</v>
      </c>
      <c r="X26" s="53"/>
      <c r="Y26" s="53">
        <f>1750+750</f>
        <v>2500</v>
      </c>
      <c r="Z26" s="53">
        <v>238</v>
      </c>
      <c r="AA26" s="53">
        <v>238</v>
      </c>
      <c r="AB26" s="53"/>
      <c r="AC26" s="53">
        <v>1350</v>
      </c>
      <c r="AD26" s="53"/>
      <c r="AE26" s="53"/>
      <c r="AF26" s="53">
        <v>250</v>
      </c>
      <c r="AG26" s="53">
        <v>1250</v>
      </c>
      <c r="AH26" s="53">
        <v>500</v>
      </c>
      <c r="AI26" s="53"/>
      <c r="AJ26" s="109"/>
      <c r="AK26" s="109"/>
      <c r="AL26" s="54"/>
      <c r="AM26" s="109">
        <f t="shared" si="1"/>
        <v>14576</v>
      </c>
    </row>
    <row r="27" spans="1:44" x14ac:dyDescent="0.2">
      <c r="A27" s="3" t="s">
        <v>18</v>
      </c>
      <c r="B27" s="53"/>
      <c r="C27" s="53">
        <v>2590</v>
      </c>
      <c r="D27" s="53">
        <v>2200</v>
      </c>
      <c r="E27" s="53"/>
      <c r="F27" s="53"/>
      <c r="G27" s="53"/>
      <c r="H27" s="53">
        <v>3000</v>
      </c>
      <c r="I27" s="53">
        <v>3500</v>
      </c>
      <c r="J27" s="53">
        <v>4000</v>
      </c>
      <c r="K27" s="53"/>
      <c r="L27" s="53"/>
      <c r="M27" s="53"/>
      <c r="N27" s="53"/>
      <c r="O27" s="53"/>
      <c r="P27" s="53"/>
      <c r="Q27" s="53">
        <v>2500</v>
      </c>
      <c r="R27" s="53"/>
      <c r="S27" s="53">
        <v>2500</v>
      </c>
      <c r="T27" s="53"/>
      <c r="U27" s="53"/>
      <c r="V27" s="53">
        <v>1890</v>
      </c>
      <c r="W27" s="53">
        <v>1360</v>
      </c>
      <c r="X27" s="53">
        <v>632</v>
      </c>
      <c r="Y27" s="53">
        <v>2118</v>
      </c>
      <c r="Z27" s="53">
        <v>1242</v>
      </c>
      <c r="AA27" s="53">
        <v>1258</v>
      </c>
      <c r="AB27" s="53"/>
      <c r="AC27" s="53">
        <v>2750</v>
      </c>
      <c r="AD27" s="53"/>
      <c r="AE27" s="53"/>
      <c r="AF27" s="53">
        <v>2150</v>
      </c>
      <c r="AG27" s="53">
        <v>2990</v>
      </c>
      <c r="AH27" s="53"/>
      <c r="AI27" s="53">
        <v>4750</v>
      </c>
      <c r="AJ27" s="109"/>
      <c r="AK27" s="109"/>
      <c r="AL27" s="54"/>
      <c r="AM27" s="109">
        <f t="shared" si="1"/>
        <v>41430</v>
      </c>
    </row>
    <row r="28" spans="1:44" x14ac:dyDescent="0.2">
      <c r="A28" s="3" t="s">
        <v>19</v>
      </c>
      <c r="B28" s="53">
        <v>9500</v>
      </c>
      <c r="C28" s="53">
        <v>28500</v>
      </c>
      <c r="D28" s="53">
        <v>19000</v>
      </c>
      <c r="E28" s="53">
        <v>9500</v>
      </c>
      <c r="F28" s="53">
        <v>9500</v>
      </c>
      <c r="G28" s="53">
        <v>9500</v>
      </c>
      <c r="H28" s="53">
        <v>9500</v>
      </c>
      <c r="I28" s="53">
        <v>9500</v>
      </c>
      <c r="J28" s="53">
        <v>9500</v>
      </c>
      <c r="K28" s="53">
        <v>9500</v>
      </c>
      <c r="L28" s="53">
        <v>9500</v>
      </c>
      <c r="M28" s="53">
        <v>9500</v>
      </c>
      <c r="N28" s="53">
        <v>5623</v>
      </c>
      <c r="O28" s="53">
        <v>4600</v>
      </c>
      <c r="P28" s="53">
        <v>9140</v>
      </c>
      <c r="Q28" s="53">
        <v>9500</v>
      </c>
      <c r="R28" s="53">
        <v>9500</v>
      </c>
      <c r="S28" s="53">
        <v>9500</v>
      </c>
      <c r="T28" s="53">
        <v>53000</v>
      </c>
      <c r="U28" s="53">
        <v>9500</v>
      </c>
      <c r="V28" s="53">
        <v>9500</v>
      </c>
      <c r="W28" s="53">
        <v>9500</v>
      </c>
      <c r="X28" s="53">
        <v>9500</v>
      </c>
      <c r="Y28" s="53">
        <v>9500</v>
      </c>
      <c r="Z28" s="53">
        <v>9500</v>
      </c>
      <c r="AA28" s="53">
        <v>9500</v>
      </c>
      <c r="AB28" s="53">
        <v>9500</v>
      </c>
      <c r="AC28" s="53">
        <v>9500</v>
      </c>
      <c r="AD28" s="53">
        <v>28500</v>
      </c>
      <c r="AE28" s="53">
        <v>9500</v>
      </c>
      <c r="AF28" s="53">
        <v>9500</v>
      </c>
      <c r="AG28" s="53">
        <v>14760</v>
      </c>
      <c r="AH28" s="53">
        <v>43290</v>
      </c>
      <c r="AI28" s="53">
        <v>13255</v>
      </c>
      <c r="AJ28" s="109">
        <v>9500</v>
      </c>
      <c r="AK28" s="109">
        <v>9500</v>
      </c>
      <c r="AL28" s="54"/>
      <c r="AM28" s="109">
        <f t="shared" si="1"/>
        <v>466668</v>
      </c>
      <c r="AR28" s="92"/>
    </row>
    <row r="29" spans="1:44" x14ac:dyDescent="0.2">
      <c r="A29" s="3" t="s">
        <v>28</v>
      </c>
      <c r="B29" s="53"/>
      <c r="C29" s="53"/>
      <c r="D29" s="53"/>
      <c r="E29" s="53"/>
      <c r="F29" s="53"/>
      <c r="G29" s="53"/>
      <c r="H29" s="53"/>
      <c r="I29" s="53"/>
      <c r="J29" s="53"/>
      <c r="K29" s="53">
        <v>500</v>
      </c>
      <c r="L29" s="53"/>
      <c r="M29" s="53"/>
      <c r="N29" s="53"/>
      <c r="O29" s="53"/>
      <c r="P29" s="53"/>
      <c r="Q29" s="53"/>
      <c r="R29" s="53"/>
      <c r="S29" s="53"/>
      <c r="T29" s="53"/>
      <c r="U29" s="53">
        <v>11200</v>
      </c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109"/>
      <c r="AK29" s="109"/>
      <c r="AL29" s="54"/>
      <c r="AM29" s="109">
        <f t="shared" si="1"/>
        <v>11700</v>
      </c>
    </row>
    <row r="30" spans="1:44" x14ac:dyDescent="0.2">
      <c r="A30" s="3" t="s">
        <v>29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>
        <v>10000</v>
      </c>
      <c r="N30" s="53">
        <v>2500</v>
      </c>
      <c r="O30" s="53">
        <v>10000</v>
      </c>
      <c r="P30" s="53">
        <v>12500</v>
      </c>
      <c r="Q30" s="53"/>
      <c r="R30" s="53"/>
      <c r="S30" s="53"/>
      <c r="T30" s="53"/>
      <c r="U30" s="53">
        <f>37500+1500+11880</f>
        <v>50880</v>
      </c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109"/>
      <c r="AK30" s="109">
        <v>20000</v>
      </c>
      <c r="AL30" s="54"/>
      <c r="AM30" s="109">
        <f t="shared" si="1"/>
        <v>105880</v>
      </c>
    </row>
    <row r="31" spans="1:44" x14ac:dyDescent="0.2">
      <c r="A31" s="3" t="s">
        <v>48</v>
      </c>
      <c r="B31" s="53"/>
      <c r="C31" s="53"/>
      <c r="D31" s="53"/>
      <c r="E31" s="53"/>
      <c r="F31" s="53"/>
      <c r="G31" s="53">
        <v>3000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109"/>
      <c r="AK31" s="109"/>
      <c r="AL31" s="54"/>
      <c r="AM31" s="109">
        <f t="shared" si="1"/>
        <v>3000</v>
      </c>
    </row>
    <row r="32" spans="1:44" x14ac:dyDescent="0.2">
      <c r="A32" s="3" t="s">
        <v>30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>
        <v>1250</v>
      </c>
      <c r="N32" s="53">
        <v>250</v>
      </c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109"/>
      <c r="AK32" s="109">
        <v>2515</v>
      </c>
      <c r="AL32" s="54"/>
      <c r="AM32" s="109">
        <f>SUM(B32:AK32)</f>
        <v>4015</v>
      </c>
    </row>
    <row r="33" spans="1:246" x14ac:dyDescent="0.2">
      <c r="A33" s="3" t="s">
        <v>50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109"/>
      <c r="AK33" s="109"/>
      <c r="AL33" s="54"/>
      <c r="AM33" s="109">
        <f t="shared" si="1"/>
        <v>0</v>
      </c>
    </row>
    <row r="34" spans="1:246" x14ac:dyDescent="0.2">
      <c r="A34" s="3" t="s">
        <v>49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109"/>
      <c r="AK34" s="109"/>
      <c r="AL34" s="54"/>
      <c r="AM34" s="109">
        <f t="shared" si="1"/>
        <v>0</v>
      </c>
    </row>
    <row r="35" spans="1:246" ht="13.5" thickBot="1" x14ac:dyDescent="0.25">
      <c r="A35" s="55" t="s">
        <v>20</v>
      </c>
      <c r="B35" s="56"/>
      <c r="C35" s="56">
        <f>1061139+12500+565</f>
        <v>1074204</v>
      </c>
      <c r="D35" s="56"/>
      <c r="E35" s="56">
        <v>5000</v>
      </c>
      <c r="F35" s="56"/>
      <c r="G35" s="56"/>
      <c r="H35" s="56"/>
      <c r="I35" s="56"/>
      <c r="J35" s="56"/>
      <c r="K35" s="56"/>
      <c r="L35" s="56">
        <v>40911</v>
      </c>
      <c r="M35" s="56">
        <v>1500</v>
      </c>
      <c r="N35" s="56">
        <f>1500+962</f>
        <v>2462</v>
      </c>
      <c r="O35" s="56">
        <v>31000</v>
      </c>
      <c r="P35" s="56">
        <v>3000</v>
      </c>
      <c r="Q35" s="56">
        <v>336</v>
      </c>
      <c r="R35" s="56">
        <v>4671</v>
      </c>
      <c r="S35" s="56">
        <v>6802</v>
      </c>
      <c r="T35" s="56">
        <f>4079+2000+1500+1500</f>
        <v>9079</v>
      </c>
      <c r="U35" s="56">
        <v>24461</v>
      </c>
      <c r="V35" s="56">
        <f>291+1095+168+900</f>
        <v>2454</v>
      </c>
      <c r="W35" s="56">
        <f>209+7863+436+300</f>
        <v>8808</v>
      </c>
      <c r="X35" s="56">
        <f>11254+300+2299</f>
        <v>13853</v>
      </c>
      <c r="Y35" s="56">
        <f>13540+7701+900</f>
        <v>22141</v>
      </c>
      <c r="Z35" s="56">
        <f>6572+149+483</f>
        <v>7204</v>
      </c>
      <c r="AA35" s="56">
        <f>8198+151+603</f>
        <v>8952</v>
      </c>
      <c r="AB35" s="56">
        <v>7192</v>
      </c>
      <c r="AC35" s="56">
        <v>2750</v>
      </c>
      <c r="AD35" s="56">
        <v>1119</v>
      </c>
      <c r="AE35" s="56">
        <v>3801</v>
      </c>
      <c r="AF35" s="56">
        <v>71072</v>
      </c>
      <c r="AG35" s="56">
        <f>4587+545</f>
        <v>5132</v>
      </c>
      <c r="AH35" s="56">
        <v>3204</v>
      </c>
      <c r="AI35" s="56">
        <v>1658</v>
      </c>
      <c r="AJ35" s="57"/>
      <c r="AK35" s="57">
        <v>1500</v>
      </c>
      <c r="AL35" s="58"/>
      <c r="AM35" s="57">
        <f>SUM(B35:AK35)</f>
        <v>1364266</v>
      </c>
    </row>
    <row r="36" spans="1:246" ht="15" x14ac:dyDescent="0.25">
      <c r="A36" s="95" t="s">
        <v>54</v>
      </c>
      <c r="B36" s="106" t="s">
        <v>53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60"/>
      <c r="AM36" s="228"/>
    </row>
    <row r="37" spans="1:246" x14ac:dyDescent="0.2">
      <c r="A37" s="3" t="s">
        <v>55</v>
      </c>
      <c r="B37" s="53">
        <v>120000</v>
      </c>
      <c r="C37" s="53">
        <v>220000</v>
      </c>
      <c r="D37" s="53">
        <v>120000</v>
      </c>
      <c r="E37" s="53">
        <v>19000</v>
      </c>
      <c r="F37" s="53">
        <v>20000</v>
      </c>
      <c r="G37" s="53">
        <v>20000</v>
      </c>
      <c r="H37" s="53">
        <v>43500</v>
      </c>
      <c r="I37" s="53">
        <v>62500</v>
      </c>
      <c r="J37" s="53">
        <v>65000</v>
      </c>
      <c r="K37" s="53">
        <v>25000</v>
      </c>
      <c r="L37" s="53"/>
      <c r="M37" s="53"/>
      <c r="N37" s="53"/>
      <c r="O37" s="53"/>
      <c r="P37" s="53"/>
      <c r="Q37" s="53">
        <v>19548</v>
      </c>
      <c r="R37" s="53">
        <v>42971</v>
      </c>
      <c r="S37" s="53">
        <v>53481</v>
      </c>
      <c r="T37" s="53">
        <v>45000</v>
      </c>
      <c r="U37" s="53"/>
      <c r="V37" s="53">
        <v>85088</v>
      </c>
      <c r="W37" s="53">
        <v>52662</v>
      </c>
      <c r="X37" s="53">
        <v>21845</v>
      </c>
      <c r="Y37" s="53">
        <v>73155</v>
      </c>
      <c r="Z37" s="53">
        <v>58863</v>
      </c>
      <c r="AA37" s="53">
        <v>59637</v>
      </c>
      <c r="AB37" s="53"/>
      <c r="AC37" s="53"/>
      <c r="AD37" s="53">
        <v>32000</v>
      </c>
      <c r="AE37" s="53">
        <v>44100</v>
      </c>
      <c r="AF37" s="53">
        <v>110000</v>
      </c>
      <c r="AG37" s="53">
        <v>45000</v>
      </c>
      <c r="AH37" s="53">
        <v>32000</v>
      </c>
      <c r="AI37" s="53">
        <v>49000</v>
      </c>
      <c r="AJ37" s="53">
        <v>65000</v>
      </c>
      <c r="AK37" s="53"/>
      <c r="AL37" s="61"/>
      <c r="AM37" s="109">
        <f t="shared" ref="AM37:AM42" si="2">SUM(B37:AK37)</f>
        <v>1604350</v>
      </c>
    </row>
    <row r="38" spans="1:246" x14ac:dyDescent="0.2">
      <c r="A38" s="3" t="s">
        <v>56</v>
      </c>
      <c r="B38" s="53">
        <v>110880</v>
      </c>
      <c r="C38" s="53">
        <v>176917</v>
      </c>
      <c r="D38" s="53">
        <v>161054</v>
      </c>
      <c r="E38" s="53"/>
      <c r="F38" s="53"/>
      <c r="G38" s="53"/>
      <c r="H38" s="53">
        <v>38000</v>
      </c>
      <c r="I38" s="53">
        <v>57400</v>
      </c>
      <c r="J38" s="53">
        <v>52500</v>
      </c>
      <c r="K38" s="53">
        <v>20000</v>
      </c>
      <c r="L38" s="53"/>
      <c r="M38" s="53">
        <v>60000</v>
      </c>
      <c r="N38" s="53">
        <v>6000</v>
      </c>
      <c r="O38" s="53"/>
      <c r="P38" s="53">
        <v>28000</v>
      </c>
      <c r="Q38" s="53">
        <v>14830</v>
      </c>
      <c r="R38" s="53">
        <v>32598</v>
      </c>
      <c r="S38" s="53">
        <v>40572</v>
      </c>
      <c r="T38" s="53">
        <v>20000</v>
      </c>
      <c r="U38" s="53"/>
      <c r="V38" s="53"/>
      <c r="W38" s="53"/>
      <c r="X38" s="53">
        <v>18741</v>
      </c>
      <c r="Y38" s="53">
        <v>62759</v>
      </c>
      <c r="Z38" s="53">
        <v>34622</v>
      </c>
      <c r="AA38" s="53">
        <v>35078</v>
      </c>
      <c r="AB38" s="53"/>
      <c r="AC38" s="53"/>
      <c r="AD38" s="53">
        <v>20000</v>
      </c>
      <c r="AE38" s="53">
        <v>39100</v>
      </c>
      <c r="AF38" s="53">
        <v>140000</v>
      </c>
      <c r="AG38" s="53">
        <v>10000</v>
      </c>
      <c r="AH38" s="53">
        <v>10000</v>
      </c>
      <c r="AI38" s="53"/>
      <c r="AJ38" s="53">
        <v>52500</v>
      </c>
      <c r="AK38" s="53">
        <v>46200</v>
      </c>
      <c r="AL38" s="61"/>
      <c r="AM38" s="109">
        <f t="shared" si="2"/>
        <v>1287751</v>
      </c>
    </row>
    <row r="39" spans="1:246" ht="13.5" thickBot="1" x14ac:dyDescent="0.25">
      <c r="A39" s="4" t="s">
        <v>57</v>
      </c>
      <c r="B39" s="56">
        <v>100000</v>
      </c>
      <c r="C39" s="56">
        <v>201108</v>
      </c>
      <c r="D39" s="56">
        <v>95000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>
        <v>6741</v>
      </c>
      <c r="R39" s="56">
        <v>14817</v>
      </c>
      <c r="S39" s="56">
        <v>18442</v>
      </c>
      <c r="T39" s="56">
        <v>55000</v>
      </c>
      <c r="U39" s="56"/>
      <c r="V39" s="56">
        <v>69768</v>
      </c>
      <c r="W39" s="56">
        <v>50232</v>
      </c>
      <c r="X39" s="56">
        <v>22305</v>
      </c>
      <c r="Y39" s="56">
        <v>74695</v>
      </c>
      <c r="Z39" s="56"/>
      <c r="AA39" s="56"/>
      <c r="AB39" s="56"/>
      <c r="AC39" s="56"/>
      <c r="AD39" s="56">
        <v>33000</v>
      </c>
      <c r="AE39" s="56"/>
      <c r="AF39" s="56"/>
      <c r="AG39" s="56">
        <v>50000</v>
      </c>
      <c r="AH39" s="56"/>
      <c r="AI39" s="56">
        <v>46000</v>
      </c>
      <c r="AJ39" s="56">
        <v>40000</v>
      </c>
      <c r="AK39" s="56"/>
      <c r="AL39" s="6"/>
      <c r="AM39" s="57">
        <f t="shared" si="2"/>
        <v>877108</v>
      </c>
    </row>
    <row r="40" spans="1:246" s="43" customFormat="1" ht="12.75" customHeight="1" thickBot="1" x14ac:dyDescent="0.25">
      <c r="A40" s="62" t="s">
        <v>35</v>
      </c>
      <c r="B40" s="63">
        <f t="shared" ref="B40:AK40" si="3">SUM(B15:B39)</f>
        <v>747759</v>
      </c>
      <c r="C40" s="63">
        <f t="shared" si="3"/>
        <v>3533313</v>
      </c>
      <c r="D40" s="63">
        <f t="shared" si="3"/>
        <v>1007040</v>
      </c>
      <c r="E40" s="63">
        <f t="shared" si="3"/>
        <v>181170</v>
      </c>
      <c r="F40" s="63">
        <f t="shared" si="3"/>
        <v>219848</v>
      </c>
      <c r="G40" s="63">
        <f t="shared" si="3"/>
        <v>213129</v>
      </c>
      <c r="H40" s="63">
        <f t="shared" si="3"/>
        <v>217071</v>
      </c>
      <c r="I40" s="63">
        <f t="shared" si="3"/>
        <v>289188</v>
      </c>
      <c r="J40" s="63">
        <f t="shared" si="3"/>
        <v>236946</v>
      </c>
      <c r="K40" s="63">
        <f t="shared" si="3"/>
        <v>158427</v>
      </c>
      <c r="L40" s="63">
        <f t="shared" si="3"/>
        <v>1074001</v>
      </c>
      <c r="M40" s="63">
        <f t="shared" si="3"/>
        <v>425010</v>
      </c>
      <c r="N40" s="63">
        <f t="shared" si="3"/>
        <v>56311</v>
      </c>
      <c r="O40" s="63">
        <f t="shared" si="3"/>
        <v>62275</v>
      </c>
      <c r="P40" s="63">
        <f t="shared" si="3"/>
        <v>275890</v>
      </c>
      <c r="Q40" s="63">
        <f t="shared" si="3"/>
        <v>117931</v>
      </c>
      <c r="R40" s="63">
        <f t="shared" si="3"/>
        <v>239279</v>
      </c>
      <c r="S40" s="63">
        <f t="shared" si="3"/>
        <v>343342</v>
      </c>
      <c r="T40" s="63">
        <f t="shared" si="3"/>
        <v>409907</v>
      </c>
      <c r="U40" s="63">
        <f t="shared" si="3"/>
        <v>314541</v>
      </c>
      <c r="V40" s="63">
        <f t="shared" si="3"/>
        <v>365963</v>
      </c>
      <c r="W40" s="63">
        <f t="shared" si="3"/>
        <v>265061</v>
      </c>
      <c r="X40" s="63">
        <f t="shared" si="3"/>
        <v>202877</v>
      </c>
      <c r="Y40" s="63">
        <f t="shared" si="3"/>
        <v>582112</v>
      </c>
      <c r="Z40" s="63">
        <f t="shared" si="3"/>
        <v>270002</v>
      </c>
      <c r="AA40" s="63">
        <f t="shared" si="3"/>
        <v>275000</v>
      </c>
      <c r="AB40" s="63">
        <f t="shared" si="3"/>
        <v>83825</v>
      </c>
      <c r="AC40" s="63">
        <f t="shared" si="3"/>
        <v>75522</v>
      </c>
      <c r="AD40" s="63">
        <f t="shared" si="3"/>
        <v>290680</v>
      </c>
      <c r="AE40" s="63">
        <f t="shared" si="3"/>
        <v>207211</v>
      </c>
      <c r="AF40" s="63">
        <f t="shared" si="3"/>
        <v>679531</v>
      </c>
      <c r="AG40" s="63">
        <f t="shared" si="3"/>
        <v>315727</v>
      </c>
      <c r="AH40" s="63">
        <f t="shared" si="3"/>
        <v>310157</v>
      </c>
      <c r="AI40" s="63">
        <f t="shared" si="3"/>
        <v>244574</v>
      </c>
      <c r="AJ40" s="63">
        <f t="shared" si="3"/>
        <v>271340</v>
      </c>
      <c r="AK40" s="63">
        <f t="shared" si="3"/>
        <v>316223</v>
      </c>
      <c r="AL40" s="64"/>
      <c r="AM40" s="229">
        <f t="shared" si="2"/>
        <v>14878183</v>
      </c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2"/>
    </row>
    <row r="41" spans="1:246" ht="15.75" thickBot="1" x14ac:dyDescent="0.3">
      <c r="A41" s="96" t="s">
        <v>33</v>
      </c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185"/>
      <c r="AL41" s="186"/>
      <c r="AM41" s="185">
        <f t="shared" si="2"/>
        <v>0</v>
      </c>
    </row>
    <row r="42" spans="1:246" s="47" customFormat="1" ht="13.5" thickBot="1" x14ac:dyDescent="0.25">
      <c r="A42" s="65" t="s">
        <v>34</v>
      </c>
      <c r="B42" s="56">
        <f t="shared" ref="B42:AK42" si="4">SUM(B40:B41)</f>
        <v>747759</v>
      </c>
      <c r="C42" s="56">
        <f t="shared" si="4"/>
        <v>3533313</v>
      </c>
      <c r="D42" s="56">
        <f t="shared" si="4"/>
        <v>1007040</v>
      </c>
      <c r="E42" s="56">
        <f t="shared" si="4"/>
        <v>181170</v>
      </c>
      <c r="F42" s="56">
        <f t="shared" si="4"/>
        <v>219848</v>
      </c>
      <c r="G42" s="56">
        <f t="shared" si="4"/>
        <v>213129</v>
      </c>
      <c r="H42" s="56">
        <f t="shared" si="4"/>
        <v>217071</v>
      </c>
      <c r="I42" s="56">
        <f t="shared" si="4"/>
        <v>289188</v>
      </c>
      <c r="J42" s="56">
        <f t="shared" si="4"/>
        <v>236946</v>
      </c>
      <c r="K42" s="56">
        <f t="shared" si="4"/>
        <v>158427</v>
      </c>
      <c r="L42" s="56">
        <f t="shared" si="4"/>
        <v>1074001</v>
      </c>
      <c r="M42" s="56">
        <f t="shared" si="4"/>
        <v>425010</v>
      </c>
      <c r="N42" s="56">
        <f t="shared" si="4"/>
        <v>56311</v>
      </c>
      <c r="O42" s="56">
        <f t="shared" si="4"/>
        <v>62275</v>
      </c>
      <c r="P42" s="56">
        <f t="shared" si="4"/>
        <v>275890</v>
      </c>
      <c r="Q42" s="56">
        <f t="shared" si="4"/>
        <v>117931</v>
      </c>
      <c r="R42" s="56">
        <f t="shared" si="4"/>
        <v>239279</v>
      </c>
      <c r="S42" s="56">
        <f t="shared" si="4"/>
        <v>343342</v>
      </c>
      <c r="T42" s="56">
        <f t="shared" si="4"/>
        <v>409907</v>
      </c>
      <c r="U42" s="56">
        <f t="shared" si="4"/>
        <v>314541</v>
      </c>
      <c r="V42" s="56">
        <f t="shared" si="4"/>
        <v>365963</v>
      </c>
      <c r="W42" s="56">
        <f t="shared" si="4"/>
        <v>265061</v>
      </c>
      <c r="X42" s="56">
        <f t="shared" si="4"/>
        <v>202877</v>
      </c>
      <c r="Y42" s="56">
        <f t="shared" si="4"/>
        <v>582112</v>
      </c>
      <c r="Z42" s="56">
        <f t="shared" si="4"/>
        <v>270002</v>
      </c>
      <c r="AA42" s="56">
        <f t="shared" si="4"/>
        <v>275000</v>
      </c>
      <c r="AB42" s="56">
        <f t="shared" si="4"/>
        <v>83825</v>
      </c>
      <c r="AC42" s="56">
        <f t="shared" si="4"/>
        <v>75522</v>
      </c>
      <c r="AD42" s="56">
        <f t="shared" si="4"/>
        <v>290680</v>
      </c>
      <c r="AE42" s="56">
        <f t="shared" si="4"/>
        <v>207211</v>
      </c>
      <c r="AF42" s="56">
        <f t="shared" si="4"/>
        <v>679531</v>
      </c>
      <c r="AG42" s="56">
        <f t="shared" si="4"/>
        <v>315727</v>
      </c>
      <c r="AH42" s="56">
        <f t="shared" si="4"/>
        <v>310157</v>
      </c>
      <c r="AI42" s="56">
        <f t="shared" si="4"/>
        <v>244574</v>
      </c>
      <c r="AJ42" s="56">
        <f t="shared" si="4"/>
        <v>271340</v>
      </c>
      <c r="AK42" s="56">
        <f t="shared" si="4"/>
        <v>316223</v>
      </c>
      <c r="AL42" s="187"/>
      <c r="AM42" s="57">
        <f t="shared" si="2"/>
        <v>14878183</v>
      </c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  <c r="IL42" s="22"/>
    </row>
    <row r="43" spans="1:246" ht="13.5" thickBot="1" x14ac:dyDescent="0.25">
      <c r="A43" s="25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21"/>
      <c r="AK43" s="21"/>
      <c r="AL43" s="7"/>
      <c r="AM43" s="21"/>
    </row>
    <row r="44" spans="1:246" x14ac:dyDescent="0.2">
      <c r="A44" s="12" t="s">
        <v>58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8"/>
      <c r="AL44" s="13"/>
      <c r="AM44" s="108"/>
    </row>
    <row r="45" spans="1:246" x14ac:dyDescent="0.2">
      <c r="A45" s="3" t="s">
        <v>59</v>
      </c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>
        <v>38595</v>
      </c>
      <c r="N45" s="188"/>
      <c r="O45" s="188"/>
      <c r="P45" s="188">
        <v>26640</v>
      </c>
      <c r="Q45" s="188"/>
      <c r="R45" s="188"/>
      <c r="S45" s="188"/>
      <c r="T45" s="188"/>
      <c r="U45" s="188"/>
      <c r="V45" s="188"/>
      <c r="W45" s="188"/>
      <c r="X45" s="188"/>
      <c r="Y45" s="188"/>
      <c r="Z45" s="188"/>
      <c r="AA45" s="188"/>
      <c r="AB45" s="188"/>
      <c r="AC45" s="188"/>
      <c r="AD45" s="188"/>
      <c r="AE45" s="188">
        <v>497937</v>
      </c>
      <c r="AF45" s="188"/>
      <c r="AG45" s="188">
        <v>44999</v>
      </c>
      <c r="AH45" s="188">
        <v>20000</v>
      </c>
      <c r="AI45" s="189">
        <v>14273</v>
      </c>
      <c r="AJ45" s="92"/>
      <c r="AK45" s="190"/>
      <c r="AL45" s="7"/>
      <c r="AM45" s="189">
        <f t="shared" ref="AM45:AM53" si="5">SUM(B45:AK45)</f>
        <v>642444</v>
      </c>
    </row>
    <row r="46" spans="1:246" x14ac:dyDescent="0.2">
      <c r="A46" s="3" t="s">
        <v>60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188">
        <v>3203</v>
      </c>
      <c r="AA46" s="188">
        <v>206282</v>
      </c>
      <c r="AB46" s="31"/>
      <c r="AC46" s="31"/>
      <c r="AD46" s="31"/>
      <c r="AE46" s="31"/>
      <c r="AF46" s="31"/>
      <c r="AG46" s="31"/>
      <c r="AH46" s="31"/>
      <c r="AI46" s="31"/>
      <c r="AJ46" s="21"/>
      <c r="AK46" s="21"/>
      <c r="AL46" s="7"/>
      <c r="AM46" s="21">
        <f t="shared" si="5"/>
        <v>209485</v>
      </c>
    </row>
    <row r="47" spans="1:246" x14ac:dyDescent="0.2">
      <c r="A47" s="3" t="s">
        <v>61</v>
      </c>
      <c r="B47" s="188">
        <v>4357920</v>
      </c>
      <c r="C47" s="188">
        <v>7727807</v>
      </c>
      <c r="D47" s="188">
        <v>6232094</v>
      </c>
      <c r="E47" s="188">
        <v>100000</v>
      </c>
      <c r="F47" s="188">
        <v>125000</v>
      </c>
      <c r="G47" s="188"/>
      <c r="H47" s="188">
        <v>414944</v>
      </c>
      <c r="I47" s="188">
        <v>1268596</v>
      </c>
      <c r="J47" s="188">
        <v>464469</v>
      </c>
      <c r="K47" s="188">
        <v>119623</v>
      </c>
      <c r="L47" s="188">
        <v>5000000</v>
      </c>
      <c r="M47" s="188">
        <v>186188</v>
      </c>
      <c r="N47" s="188"/>
      <c r="O47" s="188"/>
      <c r="P47" s="188">
        <v>44400</v>
      </c>
      <c r="Q47" s="188">
        <v>130261</v>
      </c>
      <c r="R47" s="188">
        <v>455817</v>
      </c>
      <c r="S47" s="188">
        <v>463910</v>
      </c>
      <c r="T47" s="188">
        <v>375169</v>
      </c>
      <c r="U47" s="188"/>
      <c r="V47" s="188">
        <v>678763</v>
      </c>
      <c r="W47" s="188">
        <v>491303</v>
      </c>
      <c r="X47" s="188">
        <v>255530</v>
      </c>
      <c r="Y47" s="188">
        <v>741025</v>
      </c>
      <c r="Z47" s="188">
        <v>557367</v>
      </c>
      <c r="AA47" s="188">
        <v>288076</v>
      </c>
      <c r="AB47" s="188"/>
      <c r="AC47" s="188"/>
      <c r="AD47" s="188">
        <v>277222</v>
      </c>
      <c r="AE47" s="188">
        <v>1012556</v>
      </c>
      <c r="AF47" s="188">
        <v>2669231</v>
      </c>
      <c r="AG47" s="188">
        <v>427122</v>
      </c>
      <c r="AH47" s="188">
        <v>165699</v>
      </c>
      <c r="AI47" s="188">
        <v>226183</v>
      </c>
      <c r="AJ47" s="189">
        <v>529987</v>
      </c>
      <c r="AK47" s="189"/>
      <c r="AL47" s="7"/>
      <c r="AM47" s="189">
        <f t="shared" si="5"/>
        <v>35786262</v>
      </c>
    </row>
    <row r="48" spans="1:246" x14ac:dyDescent="0.2">
      <c r="A48" s="3" t="s">
        <v>62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188">
        <v>562500</v>
      </c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21"/>
      <c r="AK48" s="21"/>
      <c r="AL48" s="7"/>
      <c r="AM48" s="21">
        <f t="shared" si="5"/>
        <v>562500</v>
      </c>
    </row>
    <row r="49" spans="1:246" x14ac:dyDescent="0.2">
      <c r="A49" s="3" t="s">
        <v>63</v>
      </c>
      <c r="B49" s="188">
        <v>151566</v>
      </c>
      <c r="C49" s="188">
        <v>134270</v>
      </c>
      <c r="D49" s="188">
        <v>134884</v>
      </c>
      <c r="E49" s="188">
        <v>5690</v>
      </c>
      <c r="F49" s="188">
        <v>4096</v>
      </c>
      <c r="G49" s="188">
        <v>34000</v>
      </c>
      <c r="H49" s="188">
        <v>11020</v>
      </c>
      <c r="I49" s="188">
        <v>22328</v>
      </c>
      <c r="J49" s="188">
        <v>25110</v>
      </c>
      <c r="K49" s="188"/>
      <c r="L49" s="188">
        <v>83076</v>
      </c>
      <c r="M49" s="188">
        <v>14609</v>
      </c>
      <c r="N49" s="188"/>
      <c r="O49" s="188"/>
      <c r="P49" s="188"/>
      <c r="Q49" s="188">
        <v>16801.8</v>
      </c>
      <c r="R49" s="188">
        <v>26349.200000000001</v>
      </c>
      <c r="S49" s="188">
        <v>22045</v>
      </c>
      <c r="T49" s="188">
        <v>24754</v>
      </c>
      <c r="U49" s="188"/>
      <c r="V49" s="188">
        <v>27893</v>
      </c>
      <c r="W49" s="188">
        <v>20083</v>
      </c>
      <c r="X49" s="188">
        <v>16657</v>
      </c>
      <c r="Y49" s="188">
        <v>26287</v>
      </c>
      <c r="Z49" s="188">
        <v>50244</v>
      </c>
      <c r="AA49" s="188">
        <v>36361</v>
      </c>
      <c r="AB49" s="188">
        <v>0</v>
      </c>
      <c r="AC49" s="188">
        <v>0</v>
      </c>
      <c r="AD49" s="188"/>
      <c r="AE49" s="188">
        <v>50438</v>
      </c>
      <c r="AF49" s="188">
        <v>108026</v>
      </c>
      <c r="AG49" s="188">
        <v>20316</v>
      </c>
      <c r="AH49" s="188">
        <v>16430</v>
      </c>
      <c r="AI49" s="188"/>
      <c r="AJ49" s="189">
        <v>28826</v>
      </c>
      <c r="AK49" s="189">
        <v>0</v>
      </c>
      <c r="AL49" s="7"/>
      <c r="AM49" s="189">
        <f t="shared" si="5"/>
        <v>1112160</v>
      </c>
    </row>
    <row r="50" spans="1:246" ht="13.5" thickBot="1" x14ac:dyDescent="0.25">
      <c r="A50" s="10" t="s">
        <v>22</v>
      </c>
      <c r="B50" s="56">
        <f>81250+43750</f>
        <v>125000</v>
      </c>
      <c r="C50" s="56">
        <f>162500+87500</f>
        <v>250000</v>
      </c>
      <c r="D50" s="56">
        <f>81250+43750</f>
        <v>125000</v>
      </c>
      <c r="E50" s="56">
        <v>30000</v>
      </c>
      <c r="F50" s="56">
        <v>30000</v>
      </c>
      <c r="G50" s="56"/>
      <c r="H50" s="56"/>
      <c r="I50" s="56">
        <v>37500</v>
      </c>
      <c r="J50" s="56">
        <v>30000</v>
      </c>
      <c r="K50" s="56"/>
      <c r="L50" s="56">
        <v>415000</v>
      </c>
      <c r="M50" s="56">
        <v>65000</v>
      </c>
      <c r="N50" s="56"/>
      <c r="O50" s="56"/>
      <c r="P50" s="56">
        <v>60000</v>
      </c>
      <c r="Q50" s="56">
        <v>10347.200000000001</v>
      </c>
      <c r="R50" s="56">
        <v>22744.799999999999</v>
      </c>
      <c r="S50" s="56">
        <v>32108</v>
      </c>
      <c r="T50" s="56">
        <v>25000</v>
      </c>
      <c r="U50" s="56">
        <f>67250+49275</f>
        <v>116525</v>
      </c>
      <c r="V50" s="56">
        <v>110136</v>
      </c>
      <c r="W50" s="56">
        <v>79296</v>
      </c>
      <c r="X50" s="56">
        <v>15000</v>
      </c>
      <c r="Y50" s="56">
        <v>60000</v>
      </c>
      <c r="Z50" s="56"/>
      <c r="AA50" s="56"/>
      <c r="AB50" s="56"/>
      <c r="AC50" s="56"/>
      <c r="AD50" s="56">
        <v>25000</v>
      </c>
      <c r="AE50" s="56"/>
      <c r="AF50" s="56">
        <f>55250+29750</f>
        <v>85000</v>
      </c>
      <c r="AG50" s="56">
        <v>25000</v>
      </c>
      <c r="AH50" s="56">
        <v>25000</v>
      </c>
      <c r="AI50" s="56">
        <v>17127</v>
      </c>
      <c r="AJ50" s="57">
        <v>30000</v>
      </c>
      <c r="AK50" s="57"/>
      <c r="AL50" s="11"/>
      <c r="AM50" s="57">
        <f t="shared" si="5"/>
        <v>1845784</v>
      </c>
    </row>
    <row r="51" spans="1:246" s="69" customFormat="1" ht="13.5" thickBot="1" x14ac:dyDescent="0.25">
      <c r="A51" s="67" t="s">
        <v>37</v>
      </c>
      <c r="B51" s="191">
        <f t="shared" ref="B51:AK51" si="6">SUM(B45:B50)</f>
        <v>4634486</v>
      </c>
      <c r="C51" s="191">
        <f t="shared" si="6"/>
        <v>8112077</v>
      </c>
      <c r="D51" s="191">
        <f t="shared" si="6"/>
        <v>6491978</v>
      </c>
      <c r="E51" s="191">
        <f t="shared" si="6"/>
        <v>135690</v>
      </c>
      <c r="F51" s="191">
        <f t="shared" si="6"/>
        <v>159096</v>
      </c>
      <c r="G51" s="191">
        <f t="shared" si="6"/>
        <v>34000</v>
      </c>
      <c r="H51" s="191">
        <f t="shared" si="6"/>
        <v>425964</v>
      </c>
      <c r="I51" s="191">
        <f t="shared" si="6"/>
        <v>1328424</v>
      </c>
      <c r="J51" s="191">
        <f t="shared" si="6"/>
        <v>519579</v>
      </c>
      <c r="K51" s="191">
        <f t="shared" si="6"/>
        <v>119623</v>
      </c>
      <c r="L51" s="191">
        <f t="shared" si="6"/>
        <v>6060576</v>
      </c>
      <c r="M51" s="191">
        <f t="shared" si="6"/>
        <v>304392</v>
      </c>
      <c r="N51" s="191">
        <f t="shared" si="6"/>
        <v>0</v>
      </c>
      <c r="O51" s="191">
        <f t="shared" si="6"/>
        <v>0</v>
      </c>
      <c r="P51" s="191">
        <f t="shared" si="6"/>
        <v>131040</v>
      </c>
      <c r="Q51" s="191">
        <f t="shared" si="6"/>
        <v>157410</v>
      </c>
      <c r="R51" s="191">
        <f t="shared" si="6"/>
        <v>504911</v>
      </c>
      <c r="S51" s="191">
        <f t="shared" si="6"/>
        <v>518063</v>
      </c>
      <c r="T51" s="191">
        <f t="shared" si="6"/>
        <v>424923</v>
      </c>
      <c r="U51" s="191">
        <f t="shared" si="6"/>
        <v>116525</v>
      </c>
      <c r="V51" s="191">
        <f t="shared" si="6"/>
        <v>816792</v>
      </c>
      <c r="W51" s="191">
        <f t="shared" si="6"/>
        <v>590682</v>
      </c>
      <c r="X51" s="191">
        <f t="shared" si="6"/>
        <v>287187</v>
      </c>
      <c r="Y51" s="191">
        <f t="shared" si="6"/>
        <v>827312</v>
      </c>
      <c r="Z51" s="191">
        <f t="shared" si="6"/>
        <v>610814</v>
      </c>
      <c r="AA51" s="191">
        <f t="shared" si="6"/>
        <v>530719</v>
      </c>
      <c r="AB51" s="191">
        <f t="shared" si="6"/>
        <v>0</v>
      </c>
      <c r="AC51" s="191">
        <f t="shared" si="6"/>
        <v>0</v>
      </c>
      <c r="AD51" s="191">
        <f t="shared" si="6"/>
        <v>302222</v>
      </c>
      <c r="AE51" s="191">
        <f t="shared" si="6"/>
        <v>1560931</v>
      </c>
      <c r="AF51" s="191">
        <f t="shared" si="6"/>
        <v>2862257</v>
      </c>
      <c r="AG51" s="191">
        <f t="shared" si="6"/>
        <v>517437</v>
      </c>
      <c r="AH51" s="191">
        <f t="shared" si="6"/>
        <v>227129</v>
      </c>
      <c r="AI51" s="191">
        <f t="shared" si="6"/>
        <v>257583</v>
      </c>
      <c r="AJ51" s="191">
        <f t="shared" si="6"/>
        <v>588813</v>
      </c>
      <c r="AK51" s="191">
        <f t="shared" si="6"/>
        <v>0</v>
      </c>
      <c r="AL51" s="236"/>
      <c r="AM51" s="196">
        <f t="shared" si="5"/>
        <v>40158635</v>
      </c>
      <c r="AN51" s="22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8"/>
      <c r="CM51" s="68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8"/>
      <c r="EU51" s="68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8"/>
      <c r="FJ51" s="68"/>
      <c r="FK51" s="68"/>
      <c r="FL51" s="68"/>
      <c r="FM51" s="68"/>
      <c r="FN51" s="68"/>
      <c r="FO51" s="68"/>
      <c r="FP51" s="68"/>
      <c r="FQ51" s="68"/>
      <c r="FR51" s="68"/>
      <c r="FS51" s="68"/>
      <c r="FT51" s="68"/>
      <c r="FU51" s="68"/>
      <c r="FV51" s="68"/>
      <c r="FW51" s="68"/>
      <c r="FX51" s="68"/>
      <c r="FY51" s="68"/>
      <c r="FZ51" s="68"/>
      <c r="GA51" s="68"/>
      <c r="GB51" s="68"/>
      <c r="GC51" s="68"/>
      <c r="GD51" s="68"/>
      <c r="GE51" s="68"/>
      <c r="GF51" s="68"/>
      <c r="GG51" s="68"/>
      <c r="GH51" s="68"/>
      <c r="GI51" s="68"/>
      <c r="GJ51" s="68"/>
      <c r="GK51" s="68"/>
      <c r="GL51" s="68"/>
      <c r="GM51" s="68"/>
      <c r="GN51" s="68"/>
      <c r="GO51" s="68"/>
      <c r="GP51" s="68"/>
      <c r="GQ51" s="68"/>
      <c r="GR51" s="68"/>
      <c r="GS51" s="68"/>
      <c r="GT51" s="68"/>
      <c r="GU51" s="68"/>
      <c r="GV51" s="68"/>
      <c r="GW51" s="68"/>
      <c r="GX51" s="68"/>
      <c r="GY51" s="68"/>
      <c r="GZ51" s="68"/>
      <c r="HA51" s="68"/>
      <c r="HB51" s="68"/>
      <c r="HC51" s="68"/>
      <c r="HD51" s="68"/>
      <c r="HE51" s="68"/>
      <c r="HF51" s="68"/>
      <c r="HG51" s="68"/>
      <c r="HH51" s="68"/>
      <c r="HI51" s="68"/>
      <c r="HJ51" s="68"/>
      <c r="HK51" s="68"/>
      <c r="HL51" s="68"/>
      <c r="HM51" s="68"/>
      <c r="HN51" s="68"/>
      <c r="HO51" s="68"/>
      <c r="HP51" s="68"/>
      <c r="HQ51" s="68"/>
      <c r="HR51" s="68"/>
      <c r="HS51" s="68"/>
      <c r="HT51" s="68"/>
      <c r="HU51" s="68"/>
      <c r="HV51" s="68"/>
      <c r="HW51" s="68"/>
      <c r="HX51" s="68"/>
      <c r="HY51" s="68"/>
      <c r="HZ51" s="68"/>
      <c r="IA51" s="68"/>
      <c r="IB51" s="68"/>
      <c r="IC51" s="68"/>
      <c r="ID51" s="68"/>
      <c r="IE51" s="68"/>
      <c r="IF51" s="68"/>
      <c r="IG51" s="68"/>
      <c r="IH51" s="68"/>
      <c r="II51" s="68"/>
      <c r="IJ51" s="68"/>
      <c r="IK51" s="68"/>
      <c r="IL51" s="68"/>
    </row>
    <row r="52" spans="1:246" s="68" customFormat="1" ht="13.5" thickBot="1" x14ac:dyDescent="0.25">
      <c r="A52" s="14" t="s">
        <v>32</v>
      </c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>
        <v>20000</v>
      </c>
      <c r="O52" s="184">
        <v>0</v>
      </c>
      <c r="P52" s="184"/>
      <c r="Q52" s="184"/>
      <c r="R52" s="184"/>
      <c r="S52" s="184"/>
      <c r="T52" s="184"/>
      <c r="U52" s="184"/>
      <c r="V52" s="184"/>
      <c r="W52" s="184"/>
      <c r="X52" s="184"/>
      <c r="Y52" s="184"/>
      <c r="Z52" s="184"/>
      <c r="AA52" s="184"/>
      <c r="AB52" s="184">
        <v>25000</v>
      </c>
      <c r="AC52" s="184">
        <v>30000</v>
      </c>
      <c r="AD52" s="184"/>
      <c r="AE52" s="184"/>
      <c r="AF52" s="184"/>
      <c r="AG52" s="184"/>
      <c r="AH52" s="184"/>
      <c r="AI52" s="184"/>
      <c r="AJ52" s="185"/>
      <c r="AK52" s="185">
        <v>25000</v>
      </c>
      <c r="AL52" s="192"/>
      <c r="AM52" s="185">
        <f t="shared" si="5"/>
        <v>100000</v>
      </c>
      <c r="AN52" s="22"/>
    </row>
    <row r="53" spans="1:246" s="71" customFormat="1" ht="13.5" thickBot="1" x14ac:dyDescent="0.25">
      <c r="A53" s="70" t="s">
        <v>38</v>
      </c>
      <c r="B53" s="193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>
        <v>53738</v>
      </c>
      <c r="O53" s="193">
        <v>3500</v>
      </c>
      <c r="P53" s="193"/>
      <c r="Q53" s="193"/>
      <c r="R53" s="193"/>
      <c r="S53" s="193"/>
      <c r="T53" s="193"/>
      <c r="U53" s="193">
        <v>371970</v>
      </c>
      <c r="V53" s="193"/>
      <c r="W53" s="193"/>
      <c r="X53" s="193"/>
      <c r="Y53" s="193"/>
      <c r="Z53" s="193"/>
      <c r="AA53" s="193"/>
      <c r="AB53" s="193">
        <v>50000</v>
      </c>
      <c r="AC53" s="193">
        <v>30000</v>
      </c>
      <c r="AD53" s="193"/>
      <c r="AE53" s="193"/>
      <c r="AF53" s="193"/>
      <c r="AG53" s="193"/>
      <c r="AH53" s="193"/>
      <c r="AI53" s="193"/>
      <c r="AJ53" s="194"/>
      <c r="AK53" s="194">
        <v>25000</v>
      </c>
      <c r="AL53" s="195"/>
      <c r="AM53" s="194">
        <f t="shared" si="5"/>
        <v>534208</v>
      </c>
      <c r="AN53" s="22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8"/>
      <c r="CM53" s="68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8"/>
      <c r="EU53" s="68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8"/>
      <c r="FJ53" s="68"/>
      <c r="FK53" s="68"/>
      <c r="FL53" s="68"/>
      <c r="FM53" s="68"/>
      <c r="FN53" s="68"/>
      <c r="FO53" s="68"/>
      <c r="FP53" s="68"/>
      <c r="FQ53" s="68"/>
      <c r="FR53" s="68"/>
      <c r="FS53" s="68"/>
      <c r="FT53" s="68"/>
      <c r="FU53" s="68"/>
      <c r="FV53" s="68"/>
      <c r="FW53" s="68"/>
      <c r="FX53" s="68"/>
      <c r="FY53" s="68"/>
      <c r="FZ53" s="68"/>
      <c r="GA53" s="68"/>
      <c r="GB53" s="68"/>
      <c r="GC53" s="68"/>
      <c r="GD53" s="68"/>
      <c r="GE53" s="68"/>
      <c r="GF53" s="68"/>
      <c r="GG53" s="68"/>
      <c r="GH53" s="68"/>
      <c r="GI53" s="68"/>
      <c r="GJ53" s="68"/>
      <c r="GK53" s="68"/>
      <c r="GL53" s="68"/>
      <c r="GM53" s="68"/>
      <c r="GN53" s="68"/>
      <c r="GO53" s="68"/>
      <c r="GP53" s="68"/>
      <c r="GQ53" s="68"/>
      <c r="GR53" s="68"/>
      <c r="GS53" s="68"/>
      <c r="GT53" s="68"/>
      <c r="GU53" s="68"/>
      <c r="GV53" s="68"/>
      <c r="GW53" s="68"/>
      <c r="GX53" s="68"/>
      <c r="GY53" s="68"/>
      <c r="GZ53" s="68"/>
      <c r="HA53" s="68"/>
      <c r="HB53" s="68"/>
      <c r="HC53" s="68"/>
      <c r="HD53" s="68"/>
      <c r="HE53" s="68"/>
      <c r="HF53" s="68"/>
      <c r="HG53" s="68"/>
      <c r="HH53" s="68"/>
      <c r="HI53" s="68"/>
      <c r="HJ53" s="68"/>
      <c r="HK53" s="68"/>
      <c r="HL53" s="68"/>
      <c r="HM53" s="68"/>
      <c r="HN53" s="68"/>
      <c r="HO53" s="68"/>
      <c r="HP53" s="68"/>
      <c r="HQ53" s="68"/>
      <c r="HR53" s="68"/>
      <c r="HS53" s="68"/>
      <c r="HT53" s="68"/>
      <c r="HU53" s="68"/>
      <c r="HV53" s="68"/>
      <c r="HW53" s="68"/>
      <c r="HX53" s="68"/>
      <c r="HY53" s="68"/>
      <c r="HZ53" s="68"/>
      <c r="IA53" s="68"/>
      <c r="IB53" s="68"/>
      <c r="IC53" s="68"/>
      <c r="ID53" s="68"/>
      <c r="IE53" s="68"/>
      <c r="IF53" s="68"/>
      <c r="IG53" s="68"/>
      <c r="IH53" s="68"/>
      <c r="II53" s="68"/>
      <c r="IJ53" s="68"/>
      <c r="IK53" s="68"/>
      <c r="IL53" s="68"/>
    </row>
    <row r="54" spans="1:246" ht="13.5" thickBot="1" x14ac:dyDescent="0.25">
      <c r="A54" s="25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21"/>
      <c r="AK54" s="21"/>
      <c r="AL54" s="7"/>
      <c r="AM54" s="21"/>
      <c r="AN54" s="68"/>
    </row>
    <row r="55" spans="1:246" s="73" customFormat="1" ht="15.75" thickBot="1" x14ac:dyDescent="0.3">
      <c r="A55" s="96" t="s">
        <v>21</v>
      </c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5"/>
      <c r="AK55" s="185"/>
      <c r="AL55" s="186"/>
      <c r="AM55" s="185">
        <f>SUM(B55:AK55)</f>
        <v>0</v>
      </c>
      <c r="AN55" s="68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2"/>
      <c r="CA55" s="72"/>
      <c r="CB55" s="72"/>
      <c r="CC55" s="72"/>
      <c r="CD55" s="72"/>
      <c r="CE55" s="72"/>
      <c r="CF55" s="72"/>
      <c r="CG55" s="72"/>
      <c r="CH55" s="72"/>
      <c r="CI55" s="72"/>
      <c r="CJ55" s="72"/>
      <c r="CK55" s="72"/>
      <c r="CL55" s="72"/>
      <c r="CM55" s="72"/>
      <c r="CN55" s="72"/>
      <c r="CO55" s="72"/>
      <c r="CP55" s="72"/>
      <c r="CQ55" s="72"/>
      <c r="CR55" s="72"/>
      <c r="CS55" s="72"/>
      <c r="CT55" s="72"/>
      <c r="CU55" s="72"/>
      <c r="CV55" s="72"/>
      <c r="CW55" s="72"/>
      <c r="CX55" s="72"/>
      <c r="CY55" s="72"/>
      <c r="CZ55" s="72"/>
      <c r="DA55" s="72"/>
      <c r="DB55" s="72"/>
      <c r="DC55" s="72"/>
      <c r="DD55" s="72"/>
      <c r="DE55" s="72"/>
      <c r="DF55" s="72"/>
      <c r="DG55" s="72"/>
      <c r="DH55" s="72"/>
      <c r="DI55" s="72"/>
      <c r="DJ55" s="72"/>
      <c r="DK55" s="72"/>
      <c r="DL55" s="72"/>
      <c r="DM55" s="72"/>
      <c r="DN55" s="72"/>
      <c r="DO55" s="72"/>
      <c r="DP55" s="72"/>
      <c r="DQ55" s="72"/>
      <c r="DR55" s="72"/>
      <c r="DS55" s="72"/>
      <c r="DT55" s="72"/>
      <c r="DU55" s="72"/>
      <c r="DV55" s="72"/>
      <c r="DW55" s="72"/>
      <c r="DX55" s="72"/>
      <c r="DY55" s="72"/>
      <c r="DZ55" s="72"/>
      <c r="EA55" s="72"/>
      <c r="EB55" s="72"/>
      <c r="EC55" s="72"/>
      <c r="ED55" s="72"/>
      <c r="EE55" s="72"/>
      <c r="EF55" s="72"/>
      <c r="EG55" s="72"/>
      <c r="EH55" s="72"/>
      <c r="EI55" s="72"/>
      <c r="EJ55" s="72"/>
      <c r="EK55" s="72"/>
      <c r="EL55" s="72"/>
      <c r="EM55" s="72"/>
      <c r="EN55" s="72"/>
      <c r="EO55" s="72"/>
      <c r="EP55" s="72"/>
      <c r="EQ55" s="72"/>
      <c r="ER55" s="72"/>
      <c r="ES55" s="72"/>
      <c r="ET55" s="72"/>
      <c r="EU55" s="72"/>
      <c r="EV55" s="72"/>
      <c r="EW55" s="72"/>
      <c r="EX55" s="72"/>
      <c r="EY55" s="72"/>
      <c r="EZ55" s="72"/>
      <c r="FA55" s="72"/>
      <c r="FB55" s="72"/>
      <c r="FC55" s="72"/>
      <c r="FD55" s="72"/>
      <c r="FE55" s="72"/>
      <c r="FF55" s="72"/>
      <c r="FG55" s="72"/>
      <c r="FH55" s="72"/>
      <c r="FI55" s="72"/>
      <c r="FJ55" s="72"/>
      <c r="FK55" s="72"/>
      <c r="FL55" s="72"/>
      <c r="FM55" s="72"/>
      <c r="FN55" s="72"/>
      <c r="FO55" s="72"/>
      <c r="FP55" s="72"/>
      <c r="FQ55" s="72"/>
      <c r="FR55" s="72"/>
      <c r="FS55" s="72"/>
      <c r="FT55" s="72"/>
      <c r="FU55" s="72"/>
      <c r="FV55" s="72"/>
      <c r="FW55" s="72"/>
      <c r="FX55" s="72"/>
      <c r="FY55" s="72"/>
      <c r="FZ55" s="72"/>
      <c r="GA55" s="72"/>
      <c r="GB55" s="72"/>
      <c r="GC55" s="72"/>
      <c r="GD55" s="72"/>
      <c r="GE55" s="72"/>
      <c r="GF55" s="72"/>
      <c r="GG55" s="72"/>
      <c r="GH55" s="72"/>
      <c r="GI55" s="72"/>
      <c r="GJ55" s="72"/>
      <c r="GK55" s="72"/>
      <c r="GL55" s="72"/>
      <c r="GM55" s="72"/>
      <c r="GN55" s="72"/>
      <c r="GO55" s="72"/>
      <c r="GP55" s="72"/>
      <c r="GQ55" s="72"/>
      <c r="GR55" s="72"/>
      <c r="GS55" s="72"/>
      <c r="GT55" s="72"/>
      <c r="GU55" s="72"/>
      <c r="GV55" s="72"/>
      <c r="GW55" s="72"/>
      <c r="GX55" s="72"/>
      <c r="GY55" s="72"/>
      <c r="GZ55" s="72"/>
      <c r="HA55" s="72"/>
      <c r="HB55" s="72"/>
      <c r="HC55" s="72"/>
      <c r="HD55" s="72"/>
      <c r="HE55" s="72"/>
      <c r="HF55" s="72"/>
      <c r="HG55" s="72"/>
      <c r="HH55" s="72"/>
      <c r="HI55" s="72"/>
      <c r="HJ55" s="72"/>
      <c r="HK55" s="72"/>
      <c r="HL55" s="72"/>
      <c r="HM55" s="72"/>
      <c r="HN55" s="72"/>
      <c r="HO55" s="72"/>
      <c r="HP55" s="72"/>
      <c r="HQ55" s="72"/>
      <c r="HR55" s="72"/>
      <c r="HS55" s="72"/>
      <c r="HT55" s="72"/>
      <c r="HU55" s="72"/>
      <c r="HV55" s="72"/>
      <c r="HW55" s="72"/>
      <c r="HX55" s="72"/>
      <c r="HY55" s="72"/>
      <c r="HZ55" s="72"/>
      <c r="IA55" s="72"/>
      <c r="IB55" s="72"/>
      <c r="IC55" s="72"/>
      <c r="ID55" s="72"/>
      <c r="IE55" s="72"/>
      <c r="IF55" s="72"/>
      <c r="IG55" s="72"/>
      <c r="IH55" s="72"/>
      <c r="II55" s="72"/>
      <c r="IJ55" s="72"/>
      <c r="IK55" s="72"/>
      <c r="IL55" s="72"/>
    </row>
    <row r="56" spans="1:246" ht="13.5" thickBot="1" x14ac:dyDescent="0.25">
      <c r="A56" s="25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21"/>
      <c r="AK56" s="21"/>
      <c r="AL56" s="7"/>
      <c r="AM56" s="21"/>
      <c r="AN56" s="68"/>
    </row>
    <row r="57" spans="1:246" s="43" customFormat="1" x14ac:dyDescent="0.2">
      <c r="A57" s="62" t="s">
        <v>45</v>
      </c>
      <c r="B57" s="63">
        <f t="shared" ref="B57:AK57" si="7">SUM(B40,B51,B53)</f>
        <v>5382245</v>
      </c>
      <c r="C57" s="63">
        <f t="shared" si="7"/>
        <v>11645390</v>
      </c>
      <c r="D57" s="63">
        <f t="shared" si="7"/>
        <v>7499018</v>
      </c>
      <c r="E57" s="63">
        <f t="shared" si="7"/>
        <v>316860</v>
      </c>
      <c r="F57" s="63">
        <f t="shared" si="7"/>
        <v>378944</v>
      </c>
      <c r="G57" s="63">
        <f t="shared" si="7"/>
        <v>247129</v>
      </c>
      <c r="H57" s="63">
        <f t="shared" si="7"/>
        <v>643035</v>
      </c>
      <c r="I57" s="63">
        <f t="shared" si="7"/>
        <v>1617612</v>
      </c>
      <c r="J57" s="63">
        <f t="shared" si="7"/>
        <v>756525</v>
      </c>
      <c r="K57" s="63">
        <f t="shared" si="7"/>
        <v>278050</v>
      </c>
      <c r="L57" s="63">
        <f t="shared" si="7"/>
        <v>7134577</v>
      </c>
      <c r="M57" s="63">
        <f t="shared" si="7"/>
        <v>729402</v>
      </c>
      <c r="N57" s="63">
        <f t="shared" si="7"/>
        <v>110049</v>
      </c>
      <c r="O57" s="63">
        <f t="shared" si="7"/>
        <v>65775</v>
      </c>
      <c r="P57" s="63">
        <f t="shared" si="7"/>
        <v>406930</v>
      </c>
      <c r="Q57" s="63">
        <f t="shared" si="7"/>
        <v>275341</v>
      </c>
      <c r="R57" s="63">
        <f t="shared" si="7"/>
        <v>744190</v>
      </c>
      <c r="S57" s="63">
        <f t="shared" si="7"/>
        <v>861405</v>
      </c>
      <c r="T57" s="63">
        <f t="shared" si="7"/>
        <v>834830</v>
      </c>
      <c r="U57" s="63">
        <f t="shared" si="7"/>
        <v>803036</v>
      </c>
      <c r="V57" s="63">
        <f t="shared" si="7"/>
        <v>1182755</v>
      </c>
      <c r="W57" s="63">
        <f t="shared" si="7"/>
        <v>855743</v>
      </c>
      <c r="X57" s="63">
        <f t="shared" si="7"/>
        <v>490064</v>
      </c>
      <c r="Y57" s="63">
        <f t="shared" si="7"/>
        <v>1409424</v>
      </c>
      <c r="Z57" s="63">
        <f t="shared" si="7"/>
        <v>880816</v>
      </c>
      <c r="AA57" s="63">
        <f t="shared" si="7"/>
        <v>805719</v>
      </c>
      <c r="AB57" s="63">
        <f t="shared" si="7"/>
        <v>133825</v>
      </c>
      <c r="AC57" s="63">
        <f t="shared" si="7"/>
        <v>105522</v>
      </c>
      <c r="AD57" s="63">
        <f t="shared" si="7"/>
        <v>592902</v>
      </c>
      <c r="AE57" s="63">
        <f t="shared" si="7"/>
        <v>1768142</v>
      </c>
      <c r="AF57" s="63">
        <f t="shared" si="7"/>
        <v>3541788</v>
      </c>
      <c r="AG57" s="63">
        <f t="shared" si="7"/>
        <v>833164</v>
      </c>
      <c r="AH57" s="63">
        <f t="shared" si="7"/>
        <v>537286</v>
      </c>
      <c r="AI57" s="63">
        <f t="shared" si="7"/>
        <v>502157</v>
      </c>
      <c r="AJ57" s="63">
        <f t="shared" si="7"/>
        <v>860153</v>
      </c>
      <c r="AK57" s="63">
        <f t="shared" si="7"/>
        <v>341223</v>
      </c>
      <c r="AL57" s="75"/>
      <c r="AM57" s="229">
        <f>SUM(B57:AK57)</f>
        <v>55571026</v>
      </c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  <c r="IK57" s="22"/>
      <c r="IL57" s="22"/>
    </row>
    <row r="58" spans="1:246" s="47" customFormat="1" ht="13.5" thickBot="1" x14ac:dyDescent="0.25">
      <c r="A58" s="65" t="s">
        <v>36</v>
      </c>
      <c r="B58" s="56">
        <f t="shared" ref="B58:AK58" si="8">B42+B51+B53</f>
        <v>5382245</v>
      </c>
      <c r="C58" s="56">
        <f t="shared" si="8"/>
        <v>11645390</v>
      </c>
      <c r="D58" s="56">
        <f t="shared" si="8"/>
        <v>7499018</v>
      </c>
      <c r="E58" s="56">
        <f t="shared" si="8"/>
        <v>316860</v>
      </c>
      <c r="F58" s="56">
        <f t="shared" si="8"/>
        <v>378944</v>
      </c>
      <c r="G58" s="56">
        <f t="shared" si="8"/>
        <v>247129</v>
      </c>
      <c r="H58" s="56">
        <f t="shared" si="8"/>
        <v>643035</v>
      </c>
      <c r="I58" s="56">
        <f t="shared" si="8"/>
        <v>1617612</v>
      </c>
      <c r="J58" s="56">
        <f t="shared" si="8"/>
        <v>756525</v>
      </c>
      <c r="K58" s="56">
        <f t="shared" si="8"/>
        <v>278050</v>
      </c>
      <c r="L58" s="56">
        <f t="shared" si="8"/>
        <v>7134577</v>
      </c>
      <c r="M58" s="56">
        <f t="shared" si="8"/>
        <v>729402</v>
      </c>
      <c r="N58" s="56">
        <f t="shared" si="8"/>
        <v>110049</v>
      </c>
      <c r="O58" s="56">
        <f t="shared" si="8"/>
        <v>65775</v>
      </c>
      <c r="P58" s="56">
        <f t="shared" si="8"/>
        <v>406930</v>
      </c>
      <c r="Q58" s="56">
        <f t="shared" si="8"/>
        <v>275341</v>
      </c>
      <c r="R58" s="56">
        <f t="shared" si="8"/>
        <v>744190</v>
      </c>
      <c r="S58" s="56">
        <f t="shared" si="8"/>
        <v>861405</v>
      </c>
      <c r="T58" s="56">
        <f t="shared" si="8"/>
        <v>834830</v>
      </c>
      <c r="U58" s="56">
        <f t="shared" si="8"/>
        <v>803036</v>
      </c>
      <c r="V58" s="56">
        <f t="shared" si="8"/>
        <v>1182755</v>
      </c>
      <c r="W58" s="56">
        <f t="shared" si="8"/>
        <v>855743</v>
      </c>
      <c r="X58" s="56">
        <f t="shared" si="8"/>
        <v>490064</v>
      </c>
      <c r="Y58" s="56">
        <f t="shared" si="8"/>
        <v>1409424</v>
      </c>
      <c r="Z58" s="56">
        <f t="shared" si="8"/>
        <v>880816</v>
      </c>
      <c r="AA58" s="56">
        <f t="shared" si="8"/>
        <v>805719</v>
      </c>
      <c r="AB58" s="56">
        <f t="shared" si="8"/>
        <v>133825</v>
      </c>
      <c r="AC58" s="56">
        <f t="shared" si="8"/>
        <v>105522</v>
      </c>
      <c r="AD58" s="56">
        <f t="shared" si="8"/>
        <v>592902</v>
      </c>
      <c r="AE58" s="56">
        <f t="shared" si="8"/>
        <v>1768142</v>
      </c>
      <c r="AF58" s="56">
        <f t="shared" si="8"/>
        <v>3541788</v>
      </c>
      <c r="AG58" s="56">
        <f t="shared" si="8"/>
        <v>833164</v>
      </c>
      <c r="AH58" s="56">
        <f t="shared" si="8"/>
        <v>537286</v>
      </c>
      <c r="AI58" s="56">
        <f t="shared" si="8"/>
        <v>502157</v>
      </c>
      <c r="AJ58" s="56">
        <f t="shared" si="8"/>
        <v>860153</v>
      </c>
      <c r="AK58" s="56">
        <f t="shared" si="8"/>
        <v>341223</v>
      </c>
      <c r="AL58" s="58"/>
      <c r="AM58" s="57">
        <f>SUM(B58:AK58)</f>
        <v>55571026</v>
      </c>
      <c r="AN58" s="7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2"/>
      <c r="HE58" s="22"/>
      <c r="HF58" s="22"/>
      <c r="HG58" s="22"/>
      <c r="HH58" s="22"/>
      <c r="HI58" s="22"/>
      <c r="HJ58" s="22"/>
      <c r="HK58" s="22"/>
      <c r="HL58" s="22"/>
      <c r="HM58" s="22"/>
      <c r="HN58" s="22"/>
      <c r="HO58" s="22"/>
      <c r="HP58" s="22"/>
      <c r="HQ58" s="22"/>
      <c r="HR58" s="22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2"/>
      <c r="IH58" s="22"/>
      <c r="II58" s="22"/>
      <c r="IJ58" s="22"/>
      <c r="IK58" s="22"/>
      <c r="IL58" s="22"/>
    </row>
    <row r="59" spans="1:246" x14ac:dyDescent="0.2">
      <c r="A59" s="25"/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188"/>
      <c r="Z59" s="188"/>
      <c r="AA59" s="188"/>
      <c r="AB59" s="188"/>
      <c r="AC59" s="188"/>
      <c r="AD59" s="188"/>
      <c r="AE59" s="188"/>
      <c r="AF59" s="188"/>
      <c r="AG59" s="188"/>
      <c r="AH59" s="188"/>
      <c r="AI59" s="189"/>
      <c r="AJ59" s="196"/>
      <c r="AK59" s="189"/>
      <c r="AL59" s="197"/>
      <c r="AM59" s="189"/>
    </row>
    <row r="60" spans="1:246" x14ac:dyDescent="0.2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9"/>
      <c r="AM60" s="21"/>
    </row>
    <row r="61" spans="1:246" ht="12.75" customHeight="1" thickBot="1" x14ac:dyDescent="0.25">
      <c r="A61" s="25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110"/>
      <c r="AK61" s="66"/>
      <c r="AL61" s="7"/>
      <c r="AM61" s="110"/>
    </row>
    <row r="62" spans="1:246" s="26" customFormat="1" ht="15" x14ac:dyDescent="0.25">
      <c r="A62" s="95" t="s">
        <v>23</v>
      </c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21"/>
      <c r="AK62" s="31"/>
      <c r="AL62" s="7"/>
      <c r="AM62" s="230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  <c r="GD62" s="22"/>
      <c r="GE62" s="22"/>
      <c r="GF62" s="22"/>
      <c r="GG62" s="22"/>
      <c r="GH62" s="22"/>
      <c r="GI62" s="22"/>
      <c r="GJ62" s="22"/>
      <c r="GK62" s="22"/>
      <c r="GL62" s="22"/>
      <c r="GM62" s="22"/>
      <c r="GN62" s="22"/>
      <c r="GO62" s="22"/>
      <c r="GP62" s="22"/>
      <c r="GQ62" s="22"/>
      <c r="GR62" s="22"/>
      <c r="GS62" s="22"/>
      <c r="GT62" s="22"/>
      <c r="GU62" s="22"/>
      <c r="GV62" s="22"/>
      <c r="GW62" s="22"/>
      <c r="GX62" s="22"/>
      <c r="GY62" s="22"/>
      <c r="GZ62" s="22"/>
      <c r="HA62" s="22"/>
      <c r="HB62" s="22"/>
      <c r="HC62" s="22"/>
      <c r="HD62" s="22"/>
      <c r="HE62" s="22"/>
      <c r="HF62" s="22"/>
      <c r="HG62" s="22"/>
      <c r="HH62" s="22"/>
      <c r="HI62" s="22"/>
      <c r="HJ62" s="22"/>
      <c r="HK62" s="22"/>
      <c r="HL62" s="22"/>
      <c r="HM62" s="22"/>
      <c r="HN62" s="22"/>
      <c r="HO62" s="22"/>
      <c r="HP62" s="22"/>
      <c r="HQ62" s="22"/>
      <c r="HR62" s="22"/>
      <c r="HS62" s="22"/>
      <c r="HT62" s="22"/>
      <c r="HU62" s="22"/>
      <c r="HV62" s="22"/>
      <c r="HW62" s="22"/>
      <c r="HX62" s="22"/>
      <c r="HY62" s="22"/>
      <c r="HZ62" s="22"/>
      <c r="IA62" s="22"/>
      <c r="IB62" s="22"/>
      <c r="IC62" s="22"/>
      <c r="ID62" s="22"/>
      <c r="IE62" s="22"/>
      <c r="IF62" s="22"/>
      <c r="IG62" s="22"/>
      <c r="IH62" s="22"/>
      <c r="II62" s="22"/>
      <c r="IJ62" s="22"/>
      <c r="IK62" s="22"/>
      <c r="IL62" s="22"/>
    </row>
    <row r="63" spans="1:246" x14ac:dyDescent="0.2">
      <c r="A63" s="3" t="s">
        <v>10</v>
      </c>
      <c r="B63" s="77">
        <f t="shared" ref="B63:AK63" si="9">B15/(B$9/1000)</f>
        <v>0.13968253968253969</v>
      </c>
      <c r="C63" s="77">
        <f t="shared" si="9"/>
        <v>0.74085525956641751</v>
      </c>
      <c r="D63" s="77">
        <f t="shared" si="9"/>
        <v>0.16830003934082266</v>
      </c>
      <c r="E63" s="77">
        <f t="shared" si="9"/>
        <v>0.75</v>
      </c>
      <c r="F63" s="77">
        <f t="shared" si="9"/>
        <v>0.75</v>
      </c>
      <c r="G63" s="77">
        <f t="shared" si="9"/>
        <v>0.75</v>
      </c>
      <c r="H63" s="77">
        <f t="shared" si="9"/>
        <v>1.4191797975581759</v>
      </c>
      <c r="I63" s="77">
        <f t="shared" si="9"/>
        <v>0.45242122058236939</v>
      </c>
      <c r="J63" s="77">
        <f t="shared" si="9"/>
        <v>0.50512703945042181</v>
      </c>
      <c r="K63" s="77">
        <f t="shared" si="9"/>
        <v>0.96587406428885958</v>
      </c>
      <c r="L63" s="77">
        <f t="shared" si="9"/>
        <v>0.81858200000000003</v>
      </c>
      <c r="M63" s="77">
        <f t="shared" si="9"/>
        <v>2.8824977328669519</v>
      </c>
      <c r="N63" s="77">
        <f t="shared" si="9"/>
        <v>1.8228703539036102</v>
      </c>
      <c r="O63" s="77">
        <f t="shared" si="9"/>
        <v>3.1902173913043477</v>
      </c>
      <c r="P63" s="77">
        <f t="shared" si="9"/>
        <v>14.770240700218819</v>
      </c>
      <c r="Q63" s="77">
        <f t="shared" si="9"/>
        <v>0.33355497139322715</v>
      </c>
      <c r="R63" s="77">
        <f t="shared" si="9"/>
        <v>0.33355140515634341</v>
      </c>
      <c r="S63" s="77">
        <f t="shared" si="9"/>
        <v>0.55962130846403846</v>
      </c>
      <c r="T63" s="77">
        <f t="shared" si="9"/>
        <v>0.55454583350702402</v>
      </c>
      <c r="U63" s="77">
        <f t="shared" si="9"/>
        <v>5.4439874183401891</v>
      </c>
      <c r="V63" s="77">
        <f t="shared" si="9"/>
        <v>0.40484310307256482</v>
      </c>
      <c r="W63" s="77">
        <f t="shared" si="9"/>
        <v>0.40484261501210655</v>
      </c>
      <c r="X63" s="77">
        <f t="shared" si="9"/>
        <v>0.95784588082724731</v>
      </c>
      <c r="Y63" s="77">
        <f t="shared" si="9"/>
        <v>0.81803395634184617</v>
      </c>
      <c r="Z63" s="77">
        <f t="shared" si="9"/>
        <v>0.45553968862108601</v>
      </c>
      <c r="AA63" s="77">
        <f t="shared" si="9"/>
        <v>0.45553301935439511</v>
      </c>
      <c r="AB63" s="77">
        <f t="shared" si="9"/>
        <v>1.241343264079446</v>
      </c>
      <c r="AC63" s="77">
        <f t="shared" si="9"/>
        <v>0.71198099566205331</v>
      </c>
      <c r="AD63" s="77">
        <f t="shared" si="9"/>
        <v>0.5585772707705553</v>
      </c>
      <c r="AE63" s="77">
        <f t="shared" si="9"/>
        <v>0.73048327137546465</v>
      </c>
      <c r="AF63" s="77">
        <f t="shared" si="9"/>
        <v>0.19999871972141137</v>
      </c>
      <c r="AG63" s="77">
        <f t="shared" si="9"/>
        <v>0.55512379260575107</v>
      </c>
      <c r="AH63" s="77">
        <f t="shared" si="9"/>
        <v>1.0750648200847404</v>
      </c>
      <c r="AI63" s="77">
        <f t="shared" si="9"/>
        <v>0.74443860571028198</v>
      </c>
      <c r="AJ63" s="82">
        <f t="shared" si="9"/>
        <v>0.45201187858454422</v>
      </c>
      <c r="AK63" s="82">
        <f t="shared" si="9"/>
        <v>4.7877999763565438</v>
      </c>
      <c r="AL63" s="78"/>
      <c r="AM63" s="231">
        <v>0.50484786197611575</v>
      </c>
    </row>
    <row r="64" spans="1:246" x14ac:dyDescent="0.2">
      <c r="A64" s="3" t="s">
        <v>31</v>
      </c>
      <c r="B64" s="77">
        <f t="shared" ref="B64:AK64" si="10">B16/(B$9/1000)</f>
        <v>0</v>
      </c>
      <c r="C64" s="77">
        <f t="shared" si="10"/>
        <v>0</v>
      </c>
      <c r="D64" s="77">
        <f t="shared" si="10"/>
        <v>0</v>
      </c>
      <c r="E64" s="77">
        <f t="shared" si="10"/>
        <v>0.20250000000000001</v>
      </c>
      <c r="F64" s="77">
        <f t="shared" si="10"/>
        <v>0.17550399999999999</v>
      </c>
      <c r="G64" s="77">
        <f t="shared" si="10"/>
        <v>0.17576</v>
      </c>
      <c r="H64" s="77">
        <f t="shared" si="10"/>
        <v>0</v>
      </c>
      <c r="I64" s="77">
        <f t="shared" si="10"/>
        <v>0</v>
      </c>
      <c r="J64" s="77">
        <f t="shared" si="10"/>
        <v>0</v>
      </c>
      <c r="K64" s="77">
        <f t="shared" si="10"/>
        <v>0</v>
      </c>
      <c r="L64" s="77">
        <f t="shared" si="10"/>
        <v>0.42358600000000002</v>
      </c>
      <c r="M64" s="77">
        <f t="shared" si="10"/>
        <v>0</v>
      </c>
      <c r="N64" s="77">
        <f t="shared" si="10"/>
        <v>0</v>
      </c>
      <c r="O64" s="77">
        <f t="shared" si="10"/>
        <v>0</v>
      </c>
      <c r="P64" s="77">
        <f t="shared" si="10"/>
        <v>0</v>
      </c>
      <c r="Q64" s="77">
        <f t="shared" si="10"/>
        <v>0</v>
      </c>
      <c r="R64" s="77">
        <f t="shared" si="10"/>
        <v>0</v>
      </c>
      <c r="S64" s="77">
        <f t="shared" si="10"/>
        <v>0</v>
      </c>
      <c r="T64" s="77">
        <f t="shared" si="10"/>
        <v>0</v>
      </c>
      <c r="U64" s="77">
        <f t="shared" si="10"/>
        <v>0</v>
      </c>
      <c r="V64" s="77">
        <f t="shared" si="10"/>
        <v>0</v>
      </c>
      <c r="W64" s="77">
        <f t="shared" si="10"/>
        <v>0</v>
      </c>
      <c r="X64" s="77">
        <f t="shared" si="10"/>
        <v>0</v>
      </c>
      <c r="Y64" s="77">
        <f t="shared" si="10"/>
        <v>0</v>
      </c>
      <c r="Z64" s="77">
        <f t="shared" si="10"/>
        <v>0</v>
      </c>
      <c r="AA64" s="77">
        <f t="shared" si="10"/>
        <v>0</v>
      </c>
      <c r="AB64" s="77">
        <f t="shared" si="10"/>
        <v>0</v>
      </c>
      <c r="AC64" s="77">
        <f t="shared" si="10"/>
        <v>0</v>
      </c>
      <c r="AD64" s="77">
        <f t="shared" si="10"/>
        <v>0</v>
      </c>
      <c r="AE64" s="77">
        <f t="shared" si="10"/>
        <v>0</v>
      </c>
      <c r="AF64" s="77">
        <f t="shared" si="10"/>
        <v>0</v>
      </c>
      <c r="AG64" s="77">
        <f t="shared" si="10"/>
        <v>0</v>
      </c>
      <c r="AH64" s="77">
        <f t="shared" si="10"/>
        <v>0</v>
      </c>
      <c r="AI64" s="77">
        <f t="shared" si="10"/>
        <v>0</v>
      </c>
      <c r="AJ64" s="77">
        <f t="shared" si="10"/>
        <v>0</v>
      </c>
      <c r="AK64" s="77">
        <f t="shared" si="10"/>
        <v>0</v>
      </c>
      <c r="AL64" s="78"/>
      <c r="AM64" s="232">
        <v>0.32464823529411768</v>
      </c>
    </row>
    <row r="65" spans="1:39" x14ac:dyDescent="0.2">
      <c r="A65" s="3" t="s">
        <v>11</v>
      </c>
      <c r="B65" s="77">
        <f t="shared" ref="B65:AK65" si="11">B17/(B$9/1000)</f>
        <v>8.2016666666666668E-2</v>
      </c>
      <c r="C65" s="77">
        <f t="shared" si="11"/>
        <v>0.14186181303229578</v>
      </c>
      <c r="D65" s="77">
        <f t="shared" si="11"/>
        <v>6.2705446518337191E-2</v>
      </c>
      <c r="E65" s="77">
        <f t="shared" si="11"/>
        <v>0.36499999999999999</v>
      </c>
      <c r="F65" s="77">
        <f t="shared" si="11"/>
        <v>0.36199999999999999</v>
      </c>
      <c r="G65" s="77">
        <f t="shared" si="11"/>
        <v>0.35</v>
      </c>
      <c r="H65" s="77">
        <f t="shared" si="11"/>
        <v>1.0453094020661589</v>
      </c>
      <c r="I65" s="77">
        <f t="shared" si="11"/>
        <v>0</v>
      </c>
      <c r="J65" s="77">
        <f t="shared" si="11"/>
        <v>0</v>
      </c>
      <c r="K65" s="77">
        <f t="shared" si="11"/>
        <v>0.5</v>
      </c>
      <c r="L65" s="77">
        <f t="shared" si="11"/>
        <v>0.57165999999999995</v>
      </c>
      <c r="M65" s="77">
        <f t="shared" si="11"/>
        <v>4.0416893379971501</v>
      </c>
      <c r="N65" s="77">
        <f t="shared" si="11"/>
        <v>4.041614796372043</v>
      </c>
      <c r="O65" s="77">
        <f t="shared" si="11"/>
        <v>0</v>
      </c>
      <c r="P65" s="77">
        <f t="shared" si="11"/>
        <v>4.4584245076586431</v>
      </c>
      <c r="Q65" s="77">
        <f t="shared" si="11"/>
        <v>0.50129890211844752</v>
      </c>
      <c r="R65" s="77">
        <f t="shared" si="11"/>
        <v>0.50130491365059271</v>
      </c>
      <c r="S65" s="77">
        <f t="shared" si="11"/>
        <v>0.50130281192595738</v>
      </c>
      <c r="T65" s="77">
        <f t="shared" si="11"/>
        <v>0.87279169619408892</v>
      </c>
      <c r="U65" s="77">
        <f t="shared" si="11"/>
        <v>2.8228082909912091</v>
      </c>
      <c r="V65" s="77">
        <f t="shared" si="11"/>
        <v>0.6297504903028982</v>
      </c>
      <c r="W65" s="77">
        <f t="shared" si="11"/>
        <v>0.62975181598062957</v>
      </c>
      <c r="X65" s="77">
        <f t="shared" si="11"/>
        <v>0.51565080881851066</v>
      </c>
      <c r="Y65" s="77">
        <f t="shared" si="11"/>
        <v>0.51569614577176282</v>
      </c>
      <c r="Z65" s="77">
        <f t="shared" si="11"/>
        <v>0.50173104385078893</v>
      </c>
      <c r="AA65" s="77">
        <f t="shared" si="11"/>
        <v>0.50172917597717348</v>
      </c>
      <c r="AB65" s="77">
        <f t="shared" si="11"/>
        <v>0.51307983797203716</v>
      </c>
      <c r="AC65" s="77">
        <f t="shared" si="11"/>
        <v>0.51032844453625281</v>
      </c>
      <c r="AD65" s="77">
        <f t="shared" si="11"/>
        <v>0.9580929832113646</v>
      </c>
      <c r="AE65" s="77">
        <f t="shared" si="11"/>
        <v>0.50297397769516727</v>
      </c>
      <c r="AF65" s="77">
        <f t="shared" si="11"/>
        <v>0.1344292518051928</v>
      </c>
      <c r="AG65" s="77">
        <f t="shared" si="11"/>
        <v>0.51803412160911888</v>
      </c>
      <c r="AH65" s="77">
        <f t="shared" si="11"/>
        <v>1.0671725795231772</v>
      </c>
      <c r="AI65" s="77">
        <f t="shared" si="11"/>
        <v>0.89553336836573827</v>
      </c>
      <c r="AJ65" s="77">
        <f t="shared" si="11"/>
        <v>0</v>
      </c>
      <c r="AK65" s="77">
        <f t="shared" si="11"/>
        <v>4.0985144028056899</v>
      </c>
      <c r="AL65" s="78"/>
      <c r="AM65" s="232">
        <v>0.30821646149762666</v>
      </c>
    </row>
    <row r="66" spans="1:39" x14ac:dyDescent="0.2">
      <c r="A66" s="3" t="s">
        <v>73</v>
      </c>
      <c r="B66" s="77">
        <f t="shared" ref="B66:AK66" si="12">B18/(B$9/1000)</f>
        <v>0</v>
      </c>
      <c r="C66" s="77">
        <f t="shared" si="12"/>
        <v>0</v>
      </c>
      <c r="D66" s="77">
        <f t="shared" si="12"/>
        <v>0</v>
      </c>
      <c r="E66" s="77">
        <f t="shared" si="12"/>
        <v>0</v>
      </c>
      <c r="F66" s="77">
        <f t="shared" si="12"/>
        <v>0</v>
      </c>
      <c r="G66" s="77">
        <f t="shared" si="12"/>
        <v>0</v>
      </c>
      <c r="H66" s="77">
        <f t="shared" si="12"/>
        <v>0</v>
      </c>
      <c r="I66" s="77">
        <f t="shared" si="12"/>
        <v>0</v>
      </c>
      <c r="J66" s="77">
        <f t="shared" si="12"/>
        <v>0</v>
      </c>
      <c r="K66" s="77">
        <f t="shared" si="12"/>
        <v>0</v>
      </c>
      <c r="L66" s="77">
        <f t="shared" si="12"/>
        <v>0</v>
      </c>
      <c r="M66" s="77">
        <f t="shared" si="12"/>
        <v>0</v>
      </c>
      <c r="N66" s="77">
        <f t="shared" si="12"/>
        <v>0</v>
      </c>
      <c r="O66" s="77">
        <f t="shared" si="12"/>
        <v>0</v>
      </c>
      <c r="P66" s="77">
        <f t="shared" si="12"/>
        <v>0</v>
      </c>
      <c r="Q66" s="77">
        <f t="shared" si="12"/>
        <v>0</v>
      </c>
      <c r="R66" s="77">
        <f t="shared" si="12"/>
        <v>0</v>
      </c>
      <c r="S66" s="77">
        <f t="shared" si="12"/>
        <v>0</v>
      </c>
      <c r="T66" s="77">
        <f t="shared" si="12"/>
        <v>0</v>
      </c>
      <c r="U66" s="77">
        <f t="shared" si="12"/>
        <v>0</v>
      </c>
      <c r="V66" s="77">
        <f t="shared" si="12"/>
        <v>0</v>
      </c>
      <c r="W66" s="77">
        <f t="shared" si="12"/>
        <v>0</v>
      </c>
      <c r="X66" s="77">
        <f t="shared" si="12"/>
        <v>0</v>
      </c>
      <c r="Y66" s="77">
        <f t="shared" si="12"/>
        <v>0</v>
      </c>
      <c r="Z66" s="77">
        <f t="shared" si="12"/>
        <v>0</v>
      </c>
      <c r="AA66" s="77">
        <f t="shared" si="12"/>
        <v>0</v>
      </c>
      <c r="AB66" s="77">
        <f t="shared" si="12"/>
        <v>0</v>
      </c>
      <c r="AC66" s="77">
        <f t="shared" si="12"/>
        <v>0</v>
      </c>
      <c r="AD66" s="77">
        <f t="shared" si="12"/>
        <v>0</v>
      </c>
      <c r="AE66" s="77">
        <f t="shared" si="12"/>
        <v>0</v>
      </c>
      <c r="AF66" s="77">
        <f t="shared" si="12"/>
        <v>0</v>
      </c>
      <c r="AG66" s="77">
        <f t="shared" si="12"/>
        <v>0</v>
      </c>
      <c r="AH66" s="77">
        <f t="shared" si="12"/>
        <v>0</v>
      </c>
      <c r="AI66" s="77">
        <f t="shared" si="12"/>
        <v>0</v>
      </c>
      <c r="AJ66" s="77">
        <f t="shared" si="12"/>
        <v>0</v>
      </c>
      <c r="AK66" s="77">
        <f t="shared" si="12"/>
        <v>0</v>
      </c>
      <c r="AL66" s="78"/>
      <c r="AM66" s="232">
        <v>0</v>
      </c>
    </row>
    <row r="67" spans="1:39" x14ac:dyDescent="0.2">
      <c r="A67" s="3" t="s">
        <v>12</v>
      </c>
      <c r="B67" s="77">
        <f t="shared" ref="B67:AK67" si="13">B19/(B$9/1000)</f>
        <v>1.4785714285714285E-3</v>
      </c>
      <c r="C67" s="77">
        <f t="shared" si="13"/>
        <v>4.178843301645585E-3</v>
      </c>
      <c r="D67" s="77">
        <f t="shared" si="13"/>
        <v>1.2015342920837523E-3</v>
      </c>
      <c r="E67" s="77">
        <f t="shared" si="13"/>
        <v>9.1999999999999998E-3</v>
      </c>
      <c r="F67" s="77">
        <f t="shared" si="13"/>
        <v>7.28E-3</v>
      </c>
      <c r="G67" s="77">
        <f t="shared" si="13"/>
        <v>9.2720000000000007E-3</v>
      </c>
      <c r="H67" s="77">
        <f t="shared" si="13"/>
        <v>1.0122091203172284E-2</v>
      </c>
      <c r="I67" s="77">
        <f t="shared" si="13"/>
        <v>6.445951336258476E-3</v>
      </c>
      <c r="J67" s="77">
        <f t="shared" si="13"/>
        <v>7.304136990453099E-3</v>
      </c>
      <c r="K67" s="77">
        <f t="shared" si="13"/>
        <v>3.0192279465727286E-2</v>
      </c>
      <c r="L67" s="77">
        <f t="shared" si="13"/>
        <v>4.6839999999999998E-3</v>
      </c>
      <c r="M67" s="77">
        <f t="shared" si="13"/>
        <v>6.5319341883663687E-2</v>
      </c>
      <c r="N67" s="77">
        <f t="shared" si="13"/>
        <v>0</v>
      </c>
      <c r="O67" s="77">
        <f t="shared" si="13"/>
        <v>0</v>
      </c>
      <c r="P67" s="77">
        <f t="shared" si="13"/>
        <v>0.32822757111597373</v>
      </c>
      <c r="Q67" s="77">
        <f t="shared" si="13"/>
        <v>3.2936446574918822E-2</v>
      </c>
      <c r="R67" s="77">
        <f t="shared" si="13"/>
        <v>1.4983644613274243E-2</v>
      </c>
      <c r="S67" s="77">
        <f t="shared" si="13"/>
        <v>2.407799915218313E-2</v>
      </c>
      <c r="T67" s="77">
        <f t="shared" si="13"/>
        <v>1.3164367001542374E-2</v>
      </c>
      <c r="U67" s="77">
        <f t="shared" si="13"/>
        <v>0</v>
      </c>
      <c r="V67" s="77">
        <f t="shared" si="13"/>
        <v>1.5542601874046633E-2</v>
      </c>
      <c r="W67" s="77">
        <f t="shared" si="13"/>
        <v>1.7153450363196127E-2</v>
      </c>
      <c r="X67" s="77">
        <f t="shared" si="13"/>
        <v>5.8153027097126476E-2</v>
      </c>
      <c r="Y67" s="77">
        <f t="shared" si="13"/>
        <v>1.7365428123025498E-2</v>
      </c>
      <c r="Z67" s="77">
        <f t="shared" si="13"/>
        <v>1.7484587788652434E-2</v>
      </c>
      <c r="AA67" s="77">
        <f t="shared" si="13"/>
        <v>1.7257382515727594E-2</v>
      </c>
      <c r="AB67" s="77">
        <f t="shared" si="13"/>
        <v>0</v>
      </c>
      <c r="AC67" s="77">
        <f t="shared" si="13"/>
        <v>0</v>
      </c>
      <c r="AD67" s="77">
        <f t="shared" si="13"/>
        <v>1.2311665949203616E-2</v>
      </c>
      <c r="AE67" s="77">
        <f t="shared" si="13"/>
        <v>6.3345724907063194E-2</v>
      </c>
      <c r="AF67" s="77">
        <f t="shared" si="13"/>
        <v>7.6688687458390942E-3</v>
      </c>
      <c r="AG67" s="77">
        <f t="shared" si="13"/>
        <v>1.188705081233115E-2</v>
      </c>
      <c r="AH67" s="77">
        <f t="shared" si="13"/>
        <v>2.2601656864605073E-2</v>
      </c>
      <c r="AI67" s="77">
        <f t="shared" si="13"/>
        <v>1.1122788579435978E-2</v>
      </c>
      <c r="AJ67" s="77">
        <f t="shared" si="13"/>
        <v>6.3110647654886316E-3</v>
      </c>
      <c r="AK67" s="77">
        <f t="shared" si="13"/>
        <v>0</v>
      </c>
      <c r="AL67" s="78"/>
      <c r="AM67" s="232">
        <v>8.0713802128892492E-3</v>
      </c>
    </row>
    <row r="68" spans="1:39" x14ac:dyDescent="0.2">
      <c r="A68" s="3" t="s">
        <v>13</v>
      </c>
      <c r="B68" s="77">
        <f t="shared" ref="B68:AK68" si="14">B20/(B$9/1000)</f>
        <v>1.3888888888888889E-4</v>
      </c>
      <c r="C68" s="77">
        <f t="shared" si="14"/>
        <v>3.7927308644603581E-3</v>
      </c>
      <c r="D68" s="77">
        <f t="shared" si="14"/>
        <v>7.649604406172138E-4</v>
      </c>
      <c r="E68" s="77">
        <f t="shared" si="14"/>
        <v>0</v>
      </c>
      <c r="F68" s="77">
        <f t="shared" si="14"/>
        <v>0</v>
      </c>
      <c r="G68" s="77">
        <f t="shared" si="14"/>
        <v>0</v>
      </c>
      <c r="H68" s="77">
        <f t="shared" si="14"/>
        <v>6.2610873421684227E-2</v>
      </c>
      <c r="I68" s="77">
        <f t="shared" si="14"/>
        <v>1.8946948544076584E-2</v>
      </c>
      <c r="J68" s="77">
        <f t="shared" si="14"/>
        <v>1.7679446380764761E-2</v>
      </c>
      <c r="K68" s="77">
        <f t="shared" si="14"/>
        <v>2.2016732716864818E-2</v>
      </c>
      <c r="L68" s="77">
        <f t="shared" si="14"/>
        <v>0</v>
      </c>
      <c r="M68" s="77">
        <f t="shared" si="14"/>
        <v>0</v>
      </c>
      <c r="N68" s="77">
        <f t="shared" si="14"/>
        <v>0</v>
      </c>
      <c r="O68" s="77">
        <f t="shared" si="14"/>
        <v>0</v>
      </c>
      <c r="P68" s="77">
        <f t="shared" si="14"/>
        <v>0</v>
      </c>
      <c r="Q68" s="77">
        <f t="shared" si="14"/>
        <v>4.3296737281583425E-2</v>
      </c>
      <c r="R68" s="77">
        <f t="shared" si="14"/>
        <v>1.9696809820266611E-2</v>
      </c>
      <c r="S68" s="77">
        <f t="shared" si="14"/>
        <v>3.2499646742970185E-2</v>
      </c>
      <c r="T68" s="77">
        <f t="shared" si="14"/>
        <v>3.7517195381216388E-2</v>
      </c>
      <c r="U68" s="77">
        <f t="shared" si="14"/>
        <v>0</v>
      </c>
      <c r="V68" s="77">
        <f t="shared" si="14"/>
        <v>1.6343429941163654E-2</v>
      </c>
      <c r="W68" s="77">
        <f t="shared" si="14"/>
        <v>2.2699757869249396E-2</v>
      </c>
      <c r="X68" s="77">
        <f t="shared" si="14"/>
        <v>5.1873592246263055E-2</v>
      </c>
      <c r="Y68" s="77">
        <f t="shared" si="14"/>
        <v>1.5490287997064998E-2</v>
      </c>
      <c r="Z68" s="77">
        <f t="shared" si="14"/>
        <v>2.4380899306885861E-2</v>
      </c>
      <c r="AA68" s="77">
        <f t="shared" si="14"/>
        <v>2.406407920519784E-2</v>
      </c>
      <c r="AB68" s="77">
        <f t="shared" si="14"/>
        <v>0</v>
      </c>
      <c r="AC68" s="77">
        <f t="shared" si="14"/>
        <v>0</v>
      </c>
      <c r="AD68" s="77">
        <f t="shared" si="14"/>
        <v>1.6142918639690057E-2</v>
      </c>
      <c r="AE68" s="77">
        <f t="shared" si="14"/>
        <v>5.204460966542751E-2</v>
      </c>
      <c r="AF68" s="77">
        <f t="shared" si="14"/>
        <v>1.5363343063450607E-3</v>
      </c>
      <c r="AG68" s="77">
        <f t="shared" si="14"/>
        <v>0</v>
      </c>
      <c r="AH68" s="77">
        <f t="shared" si="14"/>
        <v>0</v>
      </c>
      <c r="AI68" s="77">
        <f t="shared" si="14"/>
        <v>5.5176037834997374E-2</v>
      </c>
      <c r="AJ68" s="77">
        <f t="shared" si="14"/>
        <v>1.4734885407929636E-2</v>
      </c>
      <c r="AK68" s="77">
        <f t="shared" si="14"/>
        <v>1.9702880561138038E-2</v>
      </c>
      <c r="AL68" s="78"/>
      <c r="AM68" s="232">
        <v>8.8191014566319885E-3</v>
      </c>
    </row>
    <row r="69" spans="1:39" x14ac:dyDescent="0.2">
      <c r="A69" s="3" t="s">
        <v>14</v>
      </c>
      <c r="B69" s="77">
        <f t="shared" ref="B69:AK69" si="15">B21/(B$9/1000)</f>
        <v>0.1</v>
      </c>
      <c r="C69" s="77">
        <f t="shared" si="15"/>
        <v>0.23717873548860757</v>
      </c>
      <c r="D69" s="77">
        <f t="shared" si="15"/>
        <v>0.10007868164532063</v>
      </c>
      <c r="E69" s="77">
        <f t="shared" si="15"/>
        <v>0</v>
      </c>
      <c r="F69" s="77">
        <f t="shared" si="15"/>
        <v>0</v>
      </c>
      <c r="G69" s="77">
        <f t="shared" si="15"/>
        <v>0</v>
      </c>
      <c r="H69" s="77">
        <f t="shared" si="15"/>
        <v>0</v>
      </c>
      <c r="I69" s="77">
        <f t="shared" si="15"/>
        <v>0.13960909453530115</v>
      </c>
      <c r="J69" s="77">
        <f t="shared" si="15"/>
        <v>0</v>
      </c>
      <c r="K69" s="77">
        <f t="shared" si="15"/>
        <v>0</v>
      </c>
      <c r="L69" s="77">
        <f t="shared" si="15"/>
        <v>0.22866800000000001</v>
      </c>
      <c r="M69" s="77">
        <f t="shared" si="15"/>
        <v>1.2955045990413265</v>
      </c>
      <c r="N69" s="77">
        <f t="shared" si="15"/>
        <v>0</v>
      </c>
      <c r="O69" s="77">
        <f t="shared" si="15"/>
        <v>0</v>
      </c>
      <c r="P69" s="77">
        <f t="shared" si="15"/>
        <v>2.7352297592997812</v>
      </c>
      <c r="Q69" s="77">
        <f t="shared" si="15"/>
        <v>7.8181537034173493E-2</v>
      </c>
      <c r="R69" s="77">
        <f t="shared" si="15"/>
        <v>7.8175231261651018E-2</v>
      </c>
      <c r="S69" s="77">
        <f t="shared" si="15"/>
        <v>7.8174367669916631E-2</v>
      </c>
      <c r="T69" s="77">
        <f t="shared" si="15"/>
        <v>0.42141814998541</v>
      </c>
      <c r="U69" s="77">
        <f t="shared" si="15"/>
        <v>0</v>
      </c>
      <c r="V69" s="77">
        <f t="shared" si="15"/>
        <v>0</v>
      </c>
      <c r="W69" s="77">
        <f t="shared" si="15"/>
        <v>0</v>
      </c>
      <c r="X69" s="77">
        <f t="shared" si="15"/>
        <v>0</v>
      </c>
      <c r="Y69" s="77">
        <f t="shared" si="15"/>
        <v>0</v>
      </c>
      <c r="Z69" s="77">
        <f t="shared" si="15"/>
        <v>0.10380690327748947</v>
      </c>
      <c r="AA69" s="77">
        <f t="shared" si="15"/>
        <v>0.10380556224002201</v>
      </c>
      <c r="AB69" s="77">
        <f t="shared" si="15"/>
        <v>0</v>
      </c>
      <c r="AC69" s="77">
        <f t="shared" si="15"/>
        <v>0</v>
      </c>
      <c r="AD69" s="77">
        <f t="shared" si="15"/>
        <v>0.34963409384416705</v>
      </c>
      <c r="AE69" s="77">
        <f t="shared" si="15"/>
        <v>0.29739776951672864</v>
      </c>
      <c r="AF69" s="77">
        <f t="shared" si="15"/>
        <v>0.10005889281507656</v>
      </c>
      <c r="AG69" s="77">
        <f t="shared" si="15"/>
        <v>0.29606602272306726</v>
      </c>
      <c r="AH69" s="77">
        <f t="shared" si="15"/>
        <v>0.63239107063808264</v>
      </c>
      <c r="AI69" s="77">
        <f t="shared" si="15"/>
        <v>0.5692765808372745</v>
      </c>
      <c r="AJ69" s="77">
        <f t="shared" si="15"/>
        <v>0</v>
      </c>
      <c r="AK69" s="77">
        <f t="shared" si="15"/>
        <v>0</v>
      </c>
      <c r="AL69" s="78"/>
      <c r="AM69" s="232">
        <v>0.17043763967181738</v>
      </c>
    </row>
    <row r="70" spans="1:39" x14ac:dyDescent="0.2">
      <c r="A70" s="3" t="s">
        <v>15</v>
      </c>
      <c r="B70" s="77">
        <f t="shared" ref="B70:AK70" si="16">B22/(B$9/1000)</f>
        <v>0</v>
      </c>
      <c r="C70" s="77">
        <f t="shared" si="16"/>
        <v>0</v>
      </c>
      <c r="D70" s="77">
        <f t="shared" si="16"/>
        <v>0</v>
      </c>
      <c r="E70" s="77">
        <f t="shared" si="16"/>
        <v>0</v>
      </c>
      <c r="F70" s="77">
        <f t="shared" si="16"/>
        <v>0.2</v>
      </c>
      <c r="G70" s="77">
        <f t="shared" si="16"/>
        <v>0</v>
      </c>
      <c r="H70" s="77">
        <f t="shared" si="16"/>
        <v>0</v>
      </c>
      <c r="I70" s="77">
        <f t="shared" si="16"/>
        <v>0</v>
      </c>
      <c r="J70" s="77">
        <f t="shared" si="16"/>
        <v>0</v>
      </c>
      <c r="K70" s="77">
        <f t="shared" si="16"/>
        <v>0</v>
      </c>
      <c r="L70" s="77">
        <f t="shared" si="16"/>
        <v>0</v>
      </c>
      <c r="M70" s="77">
        <f t="shared" si="16"/>
        <v>0</v>
      </c>
      <c r="N70" s="77">
        <f t="shared" si="16"/>
        <v>0</v>
      </c>
      <c r="O70" s="77">
        <f t="shared" si="16"/>
        <v>0</v>
      </c>
      <c r="P70" s="77">
        <f t="shared" si="16"/>
        <v>0</v>
      </c>
      <c r="Q70" s="77">
        <f t="shared" si="16"/>
        <v>0</v>
      </c>
      <c r="R70" s="77">
        <f t="shared" si="16"/>
        <v>0</v>
      </c>
      <c r="S70" s="77">
        <f t="shared" si="16"/>
        <v>0</v>
      </c>
      <c r="T70" s="77">
        <f t="shared" si="16"/>
        <v>0</v>
      </c>
      <c r="U70" s="77">
        <f t="shared" si="16"/>
        <v>0</v>
      </c>
      <c r="V70" s="77">
        <f t="shared" si="16"/>
        <v>0</v>
      </c>
      <c r="W70" s="77">
        <f t="shared" si="16"/>
        <v>0</v>
      </c>
      <c r="X70" s="77">
        <f t="shared" si="16"/>
        <v>0</v>
      </c>
      <c r="Y70" s="77">
        <f t="shared" si="16"/>
        <v>0</v>
      </c>
      <c r="Z70" s="77">
        <f t="shared" si="16"/>
        <v>0</v>
      </c>
      <c r="AA70" s="77">
        <f t="shared" si="16"/>
        <v>0</v>
      </c>
      <c r="AB70" s="77">
        <f t="shared" si="16"/>
        <v>0</v>
      </c>
      <c r="AC70" s="77">
        <f t="shared" si="16"/>
        <v>0</v>
      </c>
      <c r="AD70" s="77">
        <f t="shared" si="16"/>
        <v>0</v>
      </c>
      <c r="AE70" s="77">
        <f t="shared" si="16"/>
        <v>0</v>
      </c>
      <c r="AF70" s="77">
        <f t="shared" si="16"/>
        <v>0</v>
      </c>
      <c r="AG70" s="77">
        <f t="shared" si="16"/>
        <v>0</v>
      </c>
      <c r="AH70" s="77">
        <f t="shared" si="16"/>
        <v>0</v>
      </c>
      <c r="AI70" s="77">
        <f t="shared" si="16"/>
        <v>0</v>
      </c>
      <c r="AJ70" s="77">
        <f t="shared" si="16"/>
        <v>0</v>
      </c>
      <c r="AK70" s="77">
        <f t="shared" si="16"/>
        <v>0</v>
      </c>
      <c r="AL70" s="78"/>
      <c r="AM70" s="232">
        <v>0.2</v>
      </c>
    </row>
    <row r="71" spans="1:39" x14ac:dyDescent="0.2">
      <c r="A71" s="3" t="s">
        <v>16</v>
      </c>
      <c r="B71" s="77">
        <f t="shared" ref="B71:AK71" si="17">B23/(B$9/1000)</f>
        <v>0</v>
      </c>
      <c r="C71" s="77">
        <f t="shared" si="17"/>
        <v>0</v>
      </c>
      <c r="D71" s="77">
        <f t="shared" si="17"/>
        <v>0</v>
      </c>
      <c r="E71" s="77">
        <f t="shared" si="17"/>
        <v>0.15</v>
      </c>
      <c r="F71" s="77">
        <f t="shared" si="17"/>
        <v>2.8000000000000001E-2</v>
      </c>
      <c r="G71" s="77">
        <f t="shared" si="17"/>
        <v>0.16</v>
      </c>
      <c r="H71" s="77">
        <f t="shared" si="17"/>
        <v>0</v>
      </c>
      <c r="I71" s="77">
        <f t="shared" si="17"/>
        <v>0</v>
      </c>
      <c r="J71" s="77">
        <f t="shared" si="17"/>
        <v>0</v>
      </c>
      <c r="K71" s="77">
        <f t="shared" si="17"/>
        <v>0</v>
      </c>
      <c r="L71" s="77">
        <f t="shared" si="17"/>
        <v>0</v>
      </c>
      <c r="M71" s="77">
        <f t="shared" si="17"/>
        <v>0</v>
      </c>
      <c r="N71" s="77">
        <f t="shared" si="17"/>
        <v>0</v>
      </c>
      <c r="O71" s="77">
        <f t="shared" si="17"/>
        <v>0</v>
      </c>
      <c r="P71" s="77">
        <f t="shared" si="17"/>
        <v>0</v>
      </c>
      <c r="Q71" s="77">
        <f t="shared" si="17"/>
        <v>0</v>
      </c>
      <c r="R71" s="77">
        <f t="shared" si="17"/>
        <v>0</v>
      </c>
      <c r="S71" s="77">
        <f t="shared" si="17"/>
        <v>0</v>
      </c>
      <c r="T71" s="77">
        <f t="shared" si="17"/>
        <v>0</v>
      </c>
      <c r="U71" s="77">
        <f t="shared" si="17"/>
        <v>0</v>
      </c>
      <c r="V71" s="77">
        <f t="shared" si="17"/>
        <v>0</v>
      </c>
      <c r="W71" s="77">
        <f t="shared" si="17"/>
        <v>0</v>
      </c>
      <c r="X71" s="77">
        <f t="shared" si="17"/>
        <v>0</v>
      </c>
      <c r="Y71" s="77">
        <f t="shared" si="17"/>
        <v>0</v>
      </c>
      <c r="Z71" s="77">
        <f t="shared" si="17"/>
        <v>0</v>
      </c>
      <c r="AA71" s="77">
        <f t="shared" si="17"/>
        <v>0</v>
      </c>
      <c r="AB71" s="77">
        <f t="shared" si="17"/>
        <v>0</v>
      </c>
      <c r="AC71" s="77">
        <f t="shared" si="17"/>
        <v>0</v>
      </c>
      <c r="AD71" s="77">
        <f t="shared" si="17"/>
        <v>0</v>
      </c>
      <c r="AE71" s="77">
        <f t="shared" si="17"/>
        <v>0</v>
      </c>
      <c r="AF71" s="77">
        <f t="shared" si="17"/>
        <v>0</v>
      </c>
      <c r="AG71" s="77">
        <f t="shared" si="17"/>
        <v>0</v>
      </c>
      <c r="AH71" s="77">
        <f t="shared" si="17"/>
        <v>0</v>
      </c>
      <c r="AI71" s="77">
        <f t="shared" si="17"/>
        <v>0</v>
      </c>
      <c r="AJ71" s="77">
        <f t="shared" si="17"/>
        <v>0</v>
      </c>
      <c r="AK71" s="77">
        <f t="shared" si="17"/>
        <v>0</v>
      </c>
      <c r="AL71" s="78"/>
      <c r="AM71" s="232">
        <v>0.11</v>
      </c>
    </row>
    <row r="72" spans="1:39" x14ac:dyDescent="0.2">
      <c r="A72" s="3" t="s">
        <v>26</v>
      </c>
      <c r="B72" s="77">
        <f t="shared" ref="B72:AK72" si="18">B24/(B$9/1000)</f>
        <v>0</v>
      </c>
      <c r="C72" s="77">
        <f t="shared" si="18"/>
        <v>0</v>
      </c>
      <c r="D72" s="77">
        <f t="shared" si="18"/>
        <v>0</v>
      </c>
      <c r="E72" s="77">
        <f t="shared" si="18"/>
        <v>0</v>
      </c>
      <c r="F72" s="77">
        <f t="shared" si="18"/>
        <v>0</v>
      </c>
      <c r="G72" s="77">
        <f t="shared" si="18"/>
        <v>0</v>
      </c>
      <c r="H72" s="77">
        <f t="shared" si="18"/>
        <v>0</v>
      </c>
      <c r="I72" s="77">
        <f t="shared" si="18"/>
        <v>0</v>
      </c>
      <c r="J72" s="77">
        <f t="shared" si="18"/>
        <v>0</v>
      </c>
      <c r="K72" s="77">
        <f t="shared" si="18"/>
        <v>0</v>
      </c>
      <c r="L72" s="77">
        <f t="shared" si="18"/>
        <v>0</v>
      </c>
      <c r="M72" s="77">
        <f t="shared" si="18"/>
        <v>0.18137064386578572</v>
      </c>
      <c r="N72" s="77">
        <f t="shared" si="18"/>
        <v>0.53352303041081273</v>
      </c>
      <c r="O72" s="77">
        <f t="shared" si="18"/>
        <v>0.43478260869565216</v>
      </c>
      <c r="P72" s="77">
        <f t="shared" si="18"/>
        <v>1.3129102844638949</v>
      </c>
      <c r="Q72" s="77">
        <f t="shared" si="18"/>
        <v>0</v>
      </c>
      <c r="R72" s="77">
        <f t="shared" si="18"/>
        <v>0</v>
      </c>
      <c r="S72" s="77">
        <f t="shared" si="18"/>
        <v>0</v>
      </c>
      <c r="T72" s="77">
        <f t="shared" si="18"/>
        <v>0</v>
      </c>
      <c r="U72" s="77">
        <f t="shared" si="18"/>
        <v>0.24195499637067505</v>
      </c>
      <c r="V72" s="77">
        <f t="shared" si="18"/>
        <v>0</v>
      </c>
      <c r="W72" s="77">
        <f t="shared" si="18"/>
        <v>0</v>
      </c>
      <c r="X72" s="77">
        <f t="shared" si="18"/>
        <v>0</v>
      </c>
      <c r="Y72" s="77">
        <f t="shared" si="18"/>
        <v>0</v>
      </c>
      <c r="Z72" s="77">
        <f t="shared" si="18"/>
        <v>0</v>
      </c>
      <c r="AA72" s="77">
        <f t="shared" si="18"/>
        <v>0</v>
      </c>
      <c r="AB72" s="77">
        <f t="shared" si="18"/>
        <v>0</v>
      </c>
      <c r="AC72" s="77">
        <f t="shared" si="18"/>
        <v>0</v>
      </c>
      <c r="AD72" s="77">
        <f t="shared" si="18"/>
        <v>0</v>
      </c>
      <c r="AE72" s="77">
        <f t="shared" si="18"/>
        <v>0</v>
      </c>
      <c r="AF72" s="77">
        <f t="shared" si="18"/>
        <v>0</v>
      </c>
      <c r="AG72" s="77">
        <f t="shared" si="18"/>
        <v>0</v>
      </c>
      <c r="AH72" s="77">
        <f t="shared" si="18"/>
        <v>0</v>
      </c>
      <c r="AI72" s="77">
        <f t="shared" si="18"/>
        <v>0</v>
      </c>
      <c r="AJ72" s="77">
        <f t="shared" si="18"/>
        <v>0</v>
      </c>
      <c r="AK72" s="77">
        <f t="shared" si="18"/>
        <v>0.11821728336682823</v>
      </c>
      <c r="AL72" s="78"/>
      <c r="AM72" s="232">
        <v>0.30517973236662255</v>
      </c>
    </row>
    <row r="73" spans="1:39" x14ac:dyDescent="0.2">
      <c r="A73" s="3" t="s">
        <v>27</v>
      </c>
      <c r="B73" s="77">
        <f t="shared" ref="B73:AK73" si="19">B25/(B$9/1000)</f>
        <v>0</v>
      </c>
      <c r="C73" s="77">
        <f t="shared" si="19"/>
        <v>9.3263873716238326E-3</v>
      </c>
      <c r="D73" s="77">
        <f t="shared" si="19"/>
        <v>0</v>
      </c>
      <c r="E73" s="77">
        <f t="shared" si="19"/>
        <v>0</v>
      </c>
      <c r="F73" s="77">
        <f t="shared" si="19"/>
        <v>0</v>
      </c>
      <c r="G73" s="77">
        <f t="shared" si="19"/>
        <v>0</v>
      </c>
      <c r="H73" s="77">
        <f t="shared" si="19"/>
        <v>0</v>
      </c>
      <c r="I73" s="77">
        <f t="shared" si="19"/>
        <v>0</v>
      </c>
      <c r="J73" s="77">
        <f t="shared" si="19"/>
        <v>0</v>
      </c>
      <c r="K73" s="77">
        <f t="shared" si="19"/>
        <v>0</v>
      </c>
      <c r="L73" s="77">
        <f t="shared" si="19"/>
        <v>0</v>
      </c>
      <c r="M73" s="77">
        <f t="shared" si="19"/>
        <v>0.41456147169322449</v>
      </c>
      <c r="N73" s="77">
        <f t="shared" si="19"/>
        <v>0.62244353547928155</v>
      </c>
      <c r="O73" s="77">
        <f t="shared" si="19"/>
        <v>0</v>
      </c>
      <c r="P73" s="77">
        <f t="shared" si="19"/>
        <v>0.8205689277899344</v>
      </c>
      <c r="Q73" s="77">
        <f t="shared" si="19"/>
        <v>0</v>
      </c>
      <c r="R73" s="77">
        <f t="shared" si="19"/>
        <v>0</v>
      </c>
      <c r="S73" s="77">
        <f t="shared" si="19"/>
        <v>0</v>
      </c>
      <c r="T73" s="77">
        <f t="shared" si="19"/>
        <v>0</v>
      </c>
      <c r="U73" s="77">
        <f t="shared" si="19"/>
        <v>0.30244374546334379</v>
      </c>
      <c r="V73" s="77">
        <f t="shared" si="19"/>
        <v>0</v>
      </c>
      <c r="W73" s="77">
        <f t="shared" si="19"/>
        <v>0</v>
      </c>
      <c r="X73" s="77">
        <f t="shared" si="19"/>
        <v>0</v>
      </c>
      <c r="Y73" s="77">
        <f t="shared" si="19"/>
        <v>0</v>
      </c>
      <c r="Z73" s="77">
        <f t="shared" si="19"/>
        <v>0</v>
      </c>
      <c r="AA73" s="77">
        <f t="shared" si="19"/>
        <v>0</v>
      </c>
      <c r="AB73" s="77">
        <f t="shared" si="19"/>
        <v>0</v>
      </c>
      <c r="AC73" s="77">
        <f t="shared" si="19"/>
        <v>0</v>
      </c>
      <c r="AD73" s="77">
        <f t="shared" si="19"/>
        <v>0</v>
      </c>
      <c r="AE73" s="77">
        <f t="shared" si="19"/>
        <v>0</v>
      </c>
      <c r="AF73" s="77">
        <f t="shared" si="19"/>
        <v>0</v>
      </c>
      <c r="AG73" s="77">
        <f t="shared" si="19"/>
        <v>0</v>
      </c>
      <c r="AH73" s="77">
        <f t="shared" si="19"/>
        <v>0</v>
      </c>
      <c r="AI73" s="77">
        <f t="shared" si="19"/>
        <v>0</v>
      </c>
      <c r="AJ73" s="77">
        <f t="shared" si="19"/>
        <v>0</v>
      </c>
      <c r="AK73" s="77">
        <f t="shared" si="19"/>
        <v>0.2955432084170706</v>
      </c>
      <c r="AL73" s="78"/>
      <c r="AM73" s="232">
        <v>3.3296866449423111E-2</v>
      </c>
    </row>
    <row r="74" spans="1:39" x14ac:dyDescent="0.2">
      <c r="A74" s="3" t="s">
        <v>17</v>
      </c>
      <c r="B74" s="77">
        <f t="shared" ref="B74:AK74" si="20">B26/(B$9/1000)</f>
        <v>0</v>
      </c>
      <c r="C74" s="77">
        <f t="shared" si="20"/>
        <v>6.2175915810825549E-4</v>
      </c>
      <c r="D74" s="77">
        <f t="shared" si="20"/>
        <v>1.3660007868164533E-4</v>
      </c>
      <c r="E74" s="77">
        <f t="shared" si="20"/>
        <v>0</v>
      </c>
      <c r="F74" s="77">
        <f t="shared" si="20"/>
        <v>0</v>
      </c>
      <c r="G74" s="77">
        <f t="shared" si="20"/>
        <v>0</v>
      </c>
      <c r="H74" s="77">
        <f t="shared" si="20"/>
        <v>3.1305436710842113E-2</v>
      </c>
      <c r="I74" s="77">
        <f t="shared" si="20"/>
        <v>5.9832469086557637E-3</v>
      </c>
      <c r="J74" s="77">
        <f t="shared" si="20"/>
        <v>5.0512703945042176E-3</v>
      </c>
      <c r="K74" s="77">
        <f t="shared" si="20"/>
        <v>0</v>
      </c>
      <c r="L74" s="77">
        <f t="shared" si="20"/>
        <v>0</v>
      </c>
      <c r="M74" s="77">
        <f t="shared" si="20"/>
        <v>0</v>
      </c>
      <c r="N74" s="77">
        <f t="shared" si="20"/>
        <v>0</v>
      </c>
      <c r="O74" s="77">
        <f t="shared" si="20"/>
        <v>0</v>
      </c>
      <c r="P74" s="77">
        <f t="shared" si="20"/>
        <v>0</v>
      </c>
      <c r="Q74" s="77">
        <f t="shared" si="20"/>
        <v>7.7315602288541832E-3</v>
      </c>
      <c r="R74" s="77">
        <f t="shared" si="20"/>
        <v>0</v>
      </c>
      <c r="S74" s="77">
        <f t="shared" si="20"/>
        <v>2.8260562385191467E-3</v>
      </c>
      <c r="T74" s="77">
        <f t="shared" si="20"/>
        <v>0</v>
      </c>
      <c r="U74" s="77">
        <f t="shared" si="20"/>
        <v>0</v>
      </c>
      <c r="V74" s="77">
        <f t="shared" si="20"/>
        <v>8.1717149705818268E-3</v>
      </c>
      <c r="W74" s="77">
        <f t="shared" si="20"/>
        <v>3.7832929782082325E-3</v>
      </c>
      <c r="X74" s="77">
        <f t="shared" si="20"/>
        <v>0</v>
      </c>
      <c r="Y74" s="77">
        <f t="shared" si="20"/>
        <v>1.0190978945437499E-2</v>
      </c>
      <c r="Z74" s="77">
        <f t="shared" si="20"/>
        <v>1.6579011528682387E-3</v>
      </c>
      <c r="AA74" s="77">
        <f t="shared" si="20"/>
        <v>1.6363573859534532E-3</v>
      </c>
      <c r="AB74" s="77">
        <f t="shared" si="20"/>
        <v>0</v>
      </c>
      <c r="AC74" s="77">
        <f t="shared" si="20"/>
        <v>2.7886800247882669E-2</v>
      </c>
      <c r="AD74" s="77">
        <f t="shared" si="20"/>
        <v>0</v>
      </c>
      <c r="AE74" s="77">
        <f t="shared" si="20"/>
        <v>0</v>
      </c>
      <c r="AF74" s="77">
        <f t="shared" si="20"/>
        <v>3.2006964715522099E-4</v>
      </c>
      <c r="AG74" s="77">
        <f t="shared" si="20"/>
        <v>9.2520632100958518E-3</v>
      </c>
      <c r="AH74" s="77">
        <f t="shared" si="20"/>
        <v>6.3239107063808257E-3</v>
      </c>
      <c r="AI74" s="77">
        <f t="shared" si="20"/>
        <v>0</v>
      </c>
      <c r="AJ74" s="77">
        <f t="shared" si="20"/>
        <v>0</v>
      </c>
      <c r="AK74" s="77">
        <f t="shared" si="20"/>
        <v>0</v>
      </c>
      <c r="AL74" s="78"/>
      <c r="AM74" s="232">
        <v>2.4011696938383443E-3</v>
      </c>
    </row>
    <row r="75" spans="1:39" x14ac:dyDescent="0.2">
      <c r="A75" s="3" t="s">
        <v>18</v>
      </c>
      <c r="B75" s="77">
        <f t="shared" ref="B75:AK75" si="21">B27/(B$9/1000)</f>
        <v>0</v>
      </c>
      <c r="C75" s="77">
        <f t="shared" si="21"/>
        <v>1.6103562195003817E-3</v>
      </c>
      <c r="D75" s="77">
        <f t="shared" si="21"/>
        <v>1.2020806923984787E-3</v>
      </c>
      <c r="E75" s="77">
        <f t="shared" si="21"/>
        <v>0</v>
      </c>
      <c r="F75" s="77">
        <f t="shared" si="21"/>
        <v>0</v>
      </c>
      <c r="G75" s="77">
        <f t="shared" si="21"/>
        <v>0</v>
      </c>
      <c r="H75" s="77">
        <f t="shared" si="21"/>
        <v>6.2610873421684227E-2</v>
      </c>
      <c r="I75" s="77">
        <f t="shared" si="21"/>
        <v>1.3960909453530115E-2</v>
      </c>
      <c r="J75" s="77">
        <f t="shared" si="21"/>
        <v>2.020508157801687E-2</v>
      </c>
      <c r="K75" s="77">
        <f t="shared" si="21"/>
        <v>0</v>
      </c>
      <c r="L75" s="77">
        <f t="shared" si="21"/>
        <v>0</v>
      </c>
      <c r="M75" s="77">
        <f t="shared" si="21"/>
        <v>0</v>
      </c>
      <c r="N75" s="77">
        <f t="shared" si="21"/>
        <v>0</v>
      </c>
      <c r="O75" s="77">
        <f t="shared" si="21"/>
        <v>0</v>
      </c>
      <c r="P75" s="77">
        <f t="shared" si="21"/>
        <v>0</v>
      </c>
      <c r="Q75" s="77">
        <f t="shared" si="21"/>
        <v>3.8657801144270913E-2</v>
      </c>
      <c r="R75" s="77">
        <f t="shared" si="21"/>
        <v>0</v>
      </c>
      <c r="S75" s="77">
        <f t="shared" si="21"/>
        <v>1.4130281192595733E-2</v>
      </c>
      <c r="T75" s="77">
        <f t="shared" si="21"/>
        <v>0</v>
      </c>
      <c r="U75" s="77">
        <f t="shared" si="21"/>
        <v>0</v>
      </c>
      <c r="V75" s="77">
        <f t="shared" si="21"/>
        <v>1.0296360862933101E-2</v>
      </c>
      <c r="W75" s="77">
        <f t="shared" si="21"/>
        <v>1.0290556900726392E-2</v>
      </c>
      <c r="X75" s="77">
        <f t="shared" si="21"/>
        <v>8.6273974472732239E-3</v>
      </c>
      <c r="Y75" s="77">
        <f t="shared" si="21"/>
        <v>8.6337973625746495E-3</v>
      </c>
      <c r="Z75" s="77">
        <f t="shared" si="21"/>
        <v>8.6517362683292114E-3</v>
      </c>
      <c r="AA75" s="77">
        <f t="shared" si="21"/>
        <v>8.6493176114682529E-3</v>
      </c>
      <c r="AB75" s="77">
        <f t="shared" si="21"/>
        <v>0</v>
      </c>
      <c r="AC75" s="77">
        <f t="shared" si="21"/>
        <v>5.6806444949390619E-2</v>
      </c>
      <c r="AD75" s="77">
        <f t="shared" si="21"/>
        <v>0</v>
      </c>
      <c r="AE75" s="77">
        <f t="shared" si="21"/>
        <v>0</v>
      </c>
      <c r="AF75" s="77">
        <f t="shared" si="21"/>
        <v>2.7525989655349005E-3</v>
      </c>
      <c r="AG75" s="77">
        <f t="shared" si="21"/>
        <v>2.2130935198549275E-2</v>
      </c>
      <c r="AH75" s="77">
        <f t="shared" si="21"/>
        <v>0</v>
      </c>
      <c r="AI75" s="77">
        <f t="shared" si="21"/>
        <v>8.3201961814678579E-2</v>
      </c>
      <c r="AJ75" s="77">
        <f t="shared" si="21"/>
        <v>0</v>
      </c>
      <c r="AK75" s="77">
        <f t="shared" si="21"/>
        <v>0</v>
      </c>
      <c r="AL75" s="78"/>
      <c r="AM75" s="232">
        <v>6.7677778890766595E-3</v>
      </c>
    </row>
    <row r="76" spans="1:39" x14ac:dyDescent="0.2">
      <c r="A76" s="3" t="s">
        <v>19</v>
      </c>
      <c r="B76" s="77">
        <f t="shared" ref="B76:AK76" si="22">B28/(B$9/1000)</f>
        <v>7.5396825396825398E-3</v>
      </c>
      <c r="C76" s="77">
        <f t="shared" si="22"/>
        <v>1.7720136006085279E-2</v>
      </c>
      <c r="D76" s="77">
        <f t="shared" si="22"/>
        <v>1.0381605979805045E-2</v>
      </c>
      <c r="E76" s="77">
        <f t="shared" si="22"/>
        <v>9.5000000000000001E-2</v>
      </c>
      <c r="F76" s="77">
        <f t="shared" si="22"/>
        <v>7.5999999999999998E-2</v>
      </c>
      <c r="G76" s="77">
        <f t="shared" si="22"/>
        <v>7.5999999999999998E-2</v>
      </c>
      <c r="H76" s="77">
        <f t="shared" si="22"/>
        <v>0.1982677658353334</v>
      </c>
      <c r="I76" s="77">
        <f t="shared" si="22"/>
        <v>3.7893897088153168E-2</v>
      </c>
      <c r="J76" s="77">
        <f t="shared" si="22"/>
        <v>4.7987068747790067E-2</v>
      </c>
      <c r="K76" s="77">
        <f t="shared" si="22"/>
        <v>0.1394393072068105</v>
      </c>
      <c r="L76" s="77">
        <f t="shared" si="22"/>
        <v>1.9E-2</v>
      </c>
      <c r="M76" s="77">
        <f t="shared" si="22"/>
        <v>0.24614587381785205</v>
      </c>
      <c r="N76" s="77">
        <f t="shared" si="22"/>
        <v>1</v>
      </c>
      <c r="O76" s="77">
        <f t="shared" si="22"/>
        <v>1</v>
      </c>
      <c r="P76" s="77">
        <f t="shared" si="22"/>
        <v>1</v>
      </c>
      <c r="Q76" s="77">
        <f t="shared" si="22"/>
        <v>0.14689964434822947</v>
      </c>
      <c r="R76" s="77">
        <f t="shared" si="22"/>
        <v>6.6828461890190288E-2</v>
      </c>
      <c r="S76" s="77">
        <f t="shared" si="22"/>
        <v>5.3695068531863781E-2</v>
      </c>
      <c r="T76" s="77">
        <f t="shared" si="22"/>
        <v>0.44186919004543751</v>
      </c>
      <c r="U76" s="77">
        <f t="shared" si="22"/>
        <v>0.38309541092023552</v>
      </c>
      <c r="V76" s="77">
        <f t="shared" si="22"/>
        <v>5.1754194813684901E-2</v>
      </c>
      <c r="W76" s="77">
        <f t="shared" si="22"/>
        <v>7.1882566585956417E-2</v>
      </c>
      <c r="X76" s="77">
        <f t="shared" si="22"/>
        <v>0.12968398061565764</v>
      </c>
      <c r="Y76" s="77">
        <f t="shared" si="22"/>
        <v>3.8725719992662493E-2</v>
      </c>
      <c r="Z76" s="77">
        <f t="shared" si="22"/>
        <v>6.6176726690118773E-2</v>
      </c>
      <c r="AA76" s="77">
        <f t="shared" si="22"/>
        <v>6.531678641410843E-2</v>
      </c>
      <c r="AB76" s="77">
        <f t="shared" si="22"/>
        <v>0.2482686528158892</v>
      </c>
      <c r="AC76" s="77">
        <f t="shared" si="22"/>
        <v>0.19624044618880396</v>
      </c>
      <c r="AD76" s="77">
        <f t="shared" si="22"/>
        <v>0.30671545415411106</v>
      </c>
      <c r="AE76" s="77">
        <f t="shared" si="22"/>
        <v>0.14126394052044611</v>
      </c>
      <c r="AF76" s="77">
        <f t="shared" si="22"/>
        <v>1.2162646591898398E-2</v>
      </c>
      <c r="AG76" s="77">
        <f t="shared" si="22"/>
        <v>0.10924836238481181</v>
      </c>
      <c r="AH76" s="77">
        <f t="shared" si="22"/>
        <v>0.5475241889584519</v>
      </c>
      <c r="AI76" s="77">
        <f t="shared" si="22"/>
        <v>0.23217726396917149</v>
      </c>
      <c r="AJ76" s="77">
        <f t="shared" si="22"/>
        <v>4.3071203500102011E-2</v>
      </c>
      <c r="AK76" s="77">
        <f t="shared" si="22"/>
        <v>0.37435473066162273</v>
      </c>
      <c r="AL76" s="78"/>
      <c r="AM76" s="232">
        <v>5.0901372749382237E-2</v>
      </c>
    </row>
    <row r="77" spans="1:39" x14ac:dyDescent="0.2">
      <c r="A77" s="3" t="s">
        <v>28</v>
      </c>
      <c r="B77" s="77">
        <f t="shared" ref="B77:AK77" si="23">B29/(B$9/1000)</f>
        <v>0</v>
      </c>
      <c r="C77" s="77">
        <f t="shared" si="23"/>
        <v>0</v>
      </c>
      <c r="D77" s="77">
        <f t="shared" si="23"/>
        <v>0</v>
      </c>
      <c r="E77" s="77">
        <f t="shared" si="23"/>
        <v>0</v>
      </c>
      <c r="F77" s="77">
        <f t="shared" si="23"/>
        <v>0</v>
      </c>
      <c r="G77" s="77">
        <f t="shared" si="23"/>
        <v>0</v>
      </c>
      <c r="H77" s="77">
        <f t="shared" si="23"/>
        <v>0</v>
      </c>
      <c r="I77" s="77">
        <f t="shared" si="23"/>
        <v>0</v>
      </c>
      <c r="J77" s="77">
        <f t="shared" si="23"/>
        <v>0</v>
      </c>
      <c r="K77" s="77">
        <f t="shared" si="23"/>
        <v>7.3389109056216061E-3</v>
      </c>
      <c r="L77" s="77">
        <f t="shared" si="23"/>
        <v>0</v>
      </c>
      <c r="M77" s="77">
        <f t="shared" si="23"/>
        <v>0</v>
      </c>
      <c r="N77" s="77">
        <f t="shared" si="23"/>
        <v>0</v>
      </c>
      <c r="O77" s="77">
        <f t="shared" si="23"/>
        <v>0</v>
      </c>
      <c r="P77" s="77">
        <f t="shared" si="23"/>
        <v>0</v>
      </c>
      <c r="Q77" s="77">
        <f t="shared" si="23"/>
        <v>0</v>
      </c>
      <c r="R77" s="77">
        <f t="shared" si="23"/>
        <v>0</v>
      </c>
      <c r="S77" s="77">
        <f t="shared" si="23"/>
        <v>0</v>
      </c>
      <c r="T77" s="77">
        <f t="shared" si="23"/>
        <v>0</v>
      </c>
      <c r="U77" s="77">
        <f t="shared" si="23"/>
        <v>0.45164932655859341</v>
      </c>
      <c r="V77" s="77">
        <f t="shared" si="23"/>
        <v>0</v>
      </c>
      <c r="W77" s="77">
        <f t="shared" si="23"/>
        <v>0</v>
      </c>
      <c r="X77" s="77">
        <f t="shared" si="23"/>
        <v>0</v>
      </c>
      <c r="Y77" s="77">
        <f t="shared" si="23"/>
        <v>0</v>
      </c>
      <c r="Z77" s="77">
        <f t="shared" si="23"/>
        <v>0</v>
      </c>
      <c r="AA77" s="77">
        <f t="shared" si="23"/>
        <v>0</v>
      </c>
      <c r="AB77" s="77">
        <f t="shared" si="23"/>
        <v>0</v>
      </c>
      <c r="AC77" s="77">
        <f t="shared" si="23"/>
        <v>0</v>
      </c>
      <c r="AD77" s="77">
        <f t="shared" si="23"/>
        <v>0</v>
      </c>
      <c r="AE77" s="77">
        <f t="shared" si="23"/>
        <v>0</v>
      </c>
      <c r="AF77" s="77">
        <f t="shared" si="23"/>
        <v>0</v>
      </c>
      <c r="AG77" s="77">
        <f t="shared" si="23"/>
        <v>0</v>
      </c>
      <c r="AH77" s="77">
        <f t="shared" si="23"/>
        <v>0</v>
      </c>
      <c r="AI77" s="77">
        <f t="shared" si="23"/>
        <v>0</v>
      </c>
      <c r="AJ77" s="77">
        <f t="shared" si="23"/>
        <v>0</v>
      </c>
      <c r="AK77" s="77">
        <f t="shared" si="23"/>
        <v>0</v>
      </c>
      <c r="AL77" s="78"/>
      <c r="AM77" s="232">
        <v>0.12590392561983471</v>
      </c>
    </row>
    <row r="78" spans="1:39" x14ac:dyDescent="0.2">
      <c r="A78" s="3" t="s">
        <v>29</v>
      </c>
      <c r="B78" s="77">
        <f t="shared" ref="B78:AK78" si="24">B30/(B$9/1000)</f>
        <v>0</v>
      </c>
      <c r="C78" s="77">
        <f t="shared" si="24"/>
        <v>0</v>
      </c>
      <c r="D78" s="77">
        <f t="shared" si="24"/>
        <v>0</v>
      </c>
      <c r="E78" s="77">
        <f t="shared" si="24"/>
        <v>0</v>
      </c>
      <c r="F78" s="77">
        <f t="shared" si="24"/>
        <v>0</v>
      </c>
      <c r="G78" s="77">
        <f t="shared" si="24"/>
        <v>0</v>
      </c>
      <c r="H78" s="77">
        <f t="shared" si="24"/>
        <v>0</v>
      </c>
      <c r="I78" s="77">
        <f t="shared" si="24"/>
        <v>0</v>
      </c>
      <c r="J78" s="77">
        <f t="shared" si="24"/>
        <v>0</v>
      </c>
      <c r="K78" s="77">
        <f t="shared" si="24"/>
        <v>0</v>
      </c>
      <c r="L78" s="77">
        <f t="shared" si="24"/>
        <v>0</v>
      </c>
      <c r="M78" s="77">
        <f t="shared" si="24"/>
        <v>0.25910091980826533</v>
      </c>
      <c r="N78" s="77">
        <f t="shared" si="24"/>
        <v>0.44460252534234396</v>
      </c>
      <c r="O78" s="77">
        <f t="shared" si="24"/>
        <v>2.1739130434782608</v>
      </c>
      <c r="P78" s="77">
        <f t="shared" si="24"/>
        <v>1.3676148796498906</v>
      </c>
      <c r="Q78" s="77">
        <f t="shared" si="24"/>
        <v>0</v>
      </c>
      <c r="R78" s="77">
        <f t="shared" si="24"/>
        <v>0</v>
      </c>
      <c r="S78" s="77">
        <f t="shared" si="24"/>
        <v>0</v>
      </c>
      <c r="T78" s="77">
        <f t="shared" si="24"/>
        <v>0</v>
      </c>
      <c r="U78" s="77">
        <f t="shared" si="24"/>
        <v>2.0517783692233245</v>
      </c>
      <c r="V78" s="77">
        <f t="shared" si="24"/>
        <v>0</v>
      </c>
      <c r="W78" s="77">
        <f t="shared" si="24"/>
        <v>0</v>
      </c>
      <c r="X78" s="77">
        <f t="shared" si="24"/>
        <v>0</v>
      </c>
      <c r="Y78" s="77">
        <f t="shared" si="24"/>
        <v>0</v>
      </c>
      <c r="Z78" s="77">
        <f t="shared" si="24"/>
        <v>0</v>
      </c>
      <c r="AA78" s="77">
        <f t="shared" si="24"/>
        <v>0</v>
      </c>
      <c r="AB78" s="77">
        <f t="shared" si="24"/>
        <v>0</v>
      </c>
      <c r="AC78" s="77">
        <f t="shared" si="24"/>
        <v>0</v>
      </c>
      <c r="AD78" s="77">
        <f t="shared" si="24"/>
        <v>0</v>
      </c>
      <c r="AE78" s="77">
        <f t="shared" si="24"/>
        <v>0</v>
      </c>
      <c r="AF78" s="77">
        <f t="shared" si="24"/>
        <v>0</v>
      </c>
      <c r="AG78" s="77">
        <f t="shared" si="24"/>
        <v>0</v>
      </c>
      <c r="AH78" s="77">
        <f t="shared" si="24"/>
        <v>0</v>
      </c>
      <c r="AI78" s="77">
        <f t="shared" si="24"/>
        <v>0</v>
      </c>
      <c r="AJ78" s="77">
        <f t="shared" si="24"/>
        <v>0</v>
      </c>
      <c r="AK78" s="77">
        <f t="shared" si="24"/>
        <v>0.78811522244552157</v>
      </c>
      <c r="AL78" s="78"/>
      <c r="AM78" s="232">
        <v>0.97916454736296965</v>
      </c>
    </row>
    <row r="79" spans="1:39" x14ac:dyDescent="0.2">
      <c r="A79" s="3" t="s">
        <v>48</v>
      </c>
      <c r="B79" s="77">
        <f t="shared" ref="B79:AK79" si="25">B31/(B$9/1000)</f>
        <v>0</v>
      </c>
      <c r="C79" s="77">
        <f t="shared" si="25"/>
        <v>0</v>
      </c>
      <c r="D79" s="77">
        <f t="shared" si="25"/>
        <v>0</v>
      </c>
      <c r="E79" s="77">
        <f t="shared" si="25"/>
        <v>0</v>
      </c>
      <c r="F79" s="77">
        <f t="shared" si="25"/>
        <v>0</v>
      </c>
      <c r="G79" s="77">
        <f t="shared" si="25"/>
        <v>2.4E-2</v>
      </c>
      <c r="H79" s="77">
        <f t="shared" si="25"/>
        <v>0</v>
      </c>
      <c r="I79" s="77">
        <f t="shared" si="25"/>
        <v>0</v>
      </c>
      <c r="J79" s="77">
        <f t="shared" si="25"/>
        <v>0</v>
      </c>
      <c r="K79" s="77">
        <f t="shared" si="25"/>
        <v>0</v>
      </c>
      <c r="L79" s="77">
        <f t="shared" si="25"/>
        <v>0</v>
      </c>
      <c r="M79" s="77">
        <f t="shared" si="25"/>
        <v>0</v>
      </c>
      <c r="N79" s="77">
        <f t="shared" si="25"/>
        <v>0</v>
      </c>
      <c r="O79" s="77">
        <f t="shared" si="25"/>
        <v>0</v>
      </c>
      <c r="P79" s="77">
        <f t="shared" si="25"/>
        <v>0</v>
      </c>
      <c r="Q79" s="77">
        <f t="shared" si="25"/>
        <v>0</v>
      </c>
      <c r="R79" s="77">
        <f t="shared" si="25"/>
        <v>0</v>
      </c>
      <c r="S79" s="77">
        <f t="shared" si="25"/>
        <v>0</v>
      </c>
      <c r="T79" s="77">
        <f t="shared" si="25"/>
        <v>0</v>
      </c>
      <c r="U79" s="77">
        <f t="shared" si="25"/>
        <v>0</v>
      </c>
      <c r="V79" s="77">
        <f t="shared" si="25"/>
        <v>0</v>
      </c>
      <c r="W79" s="77">
        <f t="shared" si="25"/>
        <v>0</v>
      </c>
      <c r="X79" s="77">
        <f t="shared" si="25"/>
        <v>0</v>
      </c>
      <c r="Y79" s="77">
        <f t="shared" si="25"/>
        <v>0</v>
      </c>
      <c r="Z79" s="77">
        <f t="shared" si="25"/>
        <v>0</v>
      </c>
      <c r="AA79" s="77">
        <f t="shared" si="25"/>
        <v>0</v>
      </c>
      <c r="AB79" s="77">
        <f t="shared" si="25"/>
        <v>0</v>
      </c>
      <c r="AC79" s="77">
        <f t="shared" si="25"/>
        <v>0</v>
      </c>
      <c r="AD79" s="77">
        <f t="shared" si="25"/>
        <v>0</v>
      </c>
      <c r="AE79" s="77">
        <f t="shared" si="25"/>
        <v>0</v>
      </c>
      <c r="AF79" s="77">
        <f t="shared" si="25"/>
        <v>0</v>
      </c>
      <c r="AG79" s="77">
        <f t="shared" si="25"/>
        <v>0</v>
      </c>
      <c r="AH79" s="77">
        <f t="shared" si="25"/>
        <v>0</v>
      </c>
      <c r="AI79" s="77">
        <f t="shared" si="25"/>
        <v>0</v>
      </c>
      <c r="AJ79" s="77">
        <f t="shared" si="25"/>
        <v>0</v>
      </c>
      <c r="AK79" s="77">
        <f t="shared" si="25"/>
        <v>0</v>
      </c>
      <c r="AL79" s="78"/>
      <c r="AM79" s="232">
        <v>2.4E-2</v>
      </c>
    </row>
    <row r="80" spans="1:39" x14ac:dyDescent="0.2">
      <c r="A80" s="3" t="s">
        <v>30</v>
      </c>
      <c r="B80" s="77">
        <f t="shared" ref="B80:AK80" si="26">B32/(B$9/1000)</f>
        <v>0</v>
      </c>
      <c r="C80" s="77">
        <f t="shared" si="26"/>
        <v>0</v>
      </c>
      <c r="D80" s="77">
        <f t="shared" si="26"/>
        <v>0</v>
      </c>
      <c r="E80" s="77">
        <f t="shared" si="26"/>
        <v>0</v>
      </c>
      <c r="F80" s="77">
        <f t="shared" si="26"/>
        <v>0</v>
      </c>
      <c r="G80" s="77">
        <f t="shared" si="26"/>
        <v>0</v>
      </c>
      <c r="H80" s="77">
        <f t="shared" si="26"/>
        <v>0</v>
      </c>
      <c r="I80" s="77">
        <f t="shared" si="26"/>
        <v>0</v>
      </c>
      <c r="J80" s="77">
        <f t="shared" si="26"/>
        <v>0</v>
      </c>
      <c r="K80" s="77">
        <f t="shared" si="26"/>
        <v>0</v>
      </c>
      <c r="L80" s="77">
        <f t="shared" si="26"/>
        <v>0</v>
      </c>
      <c r="M80" s="77">
        <f t="shared" si="26"/>
        <v>3.2387614976033166E-2</v>
      </c>
      <c r="N80" s="77">
        <f t="shared" si="26"/>
        <v>4.4460252534234392E-2</v>
      </c>
      <c r="O80" s="77">
        <f t="shared" si="26"/>
        <v>0</v>
      </c>
      <c r="P80" s="77">
        <f t="shared" si="26"/>
        <v>0</v>
      </c>
      <c r="Q80" s="77">
        <f t="shared" si="26"/>
        <v>0</v>
      </c>
      <c r="R80" s="77">
        <f t="shared" si="26"/>
        <v>0</v>
      </c>
      <c r="S80" s="77">
        <f t="shared" si="26"/>
        <v>0</v>
      </c>
      <c r="T80" s="77">
        <f t="shared" si="26"/>
        <v>0</v>
      </c>
      <c r="U80" s="77">
        <f t="shared" si="26"/>
        <v>0</v>
      </c>
      <c r="V80" s="77">
        <f t="shared" si="26"/>
        <v>0</v>
      </c>
      <c r="W80" s="77">
        <f t="shared" si="26"/>
        <v>0</v>
      </c>
      <c r="X80" s="77">
        <f t="shared" si="26"/>
        <v>0</v>
      </c>
      <c r="Y80" s="77">
        <f t="shared" si="26"/>
        <v>0</v>
      </c>
      <c r="Z80" s="77">
        <f t="shared" si="26"/>
        <v>0</v>
      </c>
      <c r="AA80" s="77">
        <f t="shared" si="26"/>
        <v>0</v>
      </c>
      <c r="AB80" s="77">
        <f t="shared" si="26"/>
        <v>0</v>
      </c>
      <c r="AC80" s="77">
        <f t="shared" si="26"/>
        <v>0</v>
      </c>
      <c r="AD80" s="77">
        <f t="shared" si="26"/>
        <v>0</v>
      </c>
      <c r="AE80" s="77">
        <f t="shared" si="26"/>
        <v>0</v>
      </c>
      <c r="AF80" s="77">
        <f t="shared" si="26"/>
        <v>0</v>
      </c>
      <c r="AG80" s="77">
        <f t="shared" si="26"/>
        <v>0</v>
      </c>
      <c r="AH80" s="77">
        <f t="shared" si="26"/>
        <v>0</v>
      </c>
      <c r="AI80" s="77">
        <f t="shared" si="26"/>
        <v>0</v>
      </c>
      <c r="AJ80" s="77">
        <f t="shared" si="26"/>
        <v>0</v>
      </c>
      <c r="AK80" s="77">
        <f t="shared" si="26"/>
        <v>9.9105489222524337E-2</v>
      </c>
      <c r="AL80" s="78"/>
      <c r="AM80" s="232">
        <v>5.7690926072275307E-2</v>
      </c>
    </row>
    <row r="81" spans="1:246" x14ac:dyDescent="0.2">
      <c r="A81" s="3" t="s">
        <v>50</v>
      </c>
      <c r="B81" s="77">
        <f t="shared" ref="B81:AK81" si="27">B33/(B$9/1000)</f>
        <v>0</v>
      </c>
      <c r="C81" s="77">
        <f t="shared" si="27"/>
        <v>0</v>
      </c>
      <c r="D81" s="77">
        <f t="shared" si="27"/>
        <v>0</v>
      </c>
      <c r="E81" s="77">
        <f t="shared" si="27"/>
        <v>0</v>
      </c>
      <c r="F81" s="77">
        <f t="shared" si="27"/>
        <v>0</v>
      </c>
      <c r="G81" s="77">
        <f t="shared" si="27"/>
        <v>0</v>
      </c>
      <c r="H81" s="77">
        <f t="shared" si="27"/>
        <v>0</v>
      </c>
      <c r="I81" s="77">
        <f t="shared" si="27"/>
        <v>0</v>
      </c>
      <c r="J81" s="77">
        <f t="shared" si="27"/>
        <v>0</v>
      </c>
      <c r="K81" s="77">
        <f t="shared" si="27"/>
        <v>0</v>
      </c>
      <c r="L81" s="77">
        <f t="shared" si="27"/>
        <v>0</v>
      </c>
      <c r="M81" s="77">
        <f t="shared" si="27"/>
        <v>0</v>
      </c>
      <c r="N81" s="77">
        <f t="shared" si="27"/>
        <v>0</v>
      </c>
      <c r="O81" s="77">
        <f t="shared" si="27"/>
        <v>0</v>
      </c>
      <c r="P81" s="77">
        <f t="shared" si="27"/>
        <v>0</v>
      </c>
      <c r="Q81" s="77">
        <f t="shared" si="27"/>
        <v>0</v>
      </c>
      <c r="R81" s="77">
        <f t="shared" si="27"/>
        <v>0</v>
      </c>
      <c r="S81" s="77">
        <f t="shared" si="27"/>
        <v>0</v>
      </c>
      <c r="T81" s="77">
        <f t="shared" si="27"/>
        <v>0</v>
      </c>
      <c r="U81" s="77">
        <f t="shared" si="27"/>
        <v>0</v>
      </c>
      <c r="V81" s="77">
        <f t="shared" si="27"/>
        <v>0</v>
      </c>
      <c r="W81" s="77">
        <f t="shared" si="27"/>
        <v>0</v>
      </c>
      <c r="X81" s="77">
        <f t="shared" si="27"/>
        <v>0</v>
      </c>
      <c r="Y81" s="77">
        <f t="shared" si="27"/>
        <v>0</v>
      </c>
      <c r="Z81" s="77">
        <f t="shared" si="27"/>
        <v>0</v>
      </c>
      <c r="AA81" s="77">
        <f t="shared" si="27"/>
        <v>0</v>
      </c>
      <c r="AB81" s="77">
        <f t="shared" si="27"/>
        <v>0</v>
      </c>
      <c r="AC81" s="77">
        <f t="shared" si="27"/>
        <v>0</v>
      </c>
      <c r="AD81" s="77">
        <f t="shared" si="27"/>
        <v>0</v>
      </c>
      <c r="AE81" s="77">
        <f t="shared" si="27"/>
        <v>0</v>
      </c>
      <c r="AF81" s="77">
        <f t="shared" si="27"/>
        <v>0</v>
      </c>
      <c r="AG81" s="77">
        <f t="shared" si="27"/>
        <v>0</v>
      </c>
      <c r="AH81" s="77">
        <f t="shared" si="27"/>
        <v>0</v>
      </c>
      <c r="AI81" s="77">
        <f t="shared" si="27"/>
        <v>0</v>
      </c>
      <c r="AJ81" s="77">
        <f t="shared" si="27"/>
        <v>0</v>
      </c>
      <c r="AK81" s="77">
        <f t="shared" si="27"/>
        <v>0</v>
      </c>
      <c r="AL81" s="78"/>
      <c r="AM81" s="232">
        <v>0</v>
      </c>
    </row>
    <row r="82" spans="1:246" x14ac:dyDescent="0.2">
      <c r="A82" s="3" t="s">
        <v>49</v>
      </c>
      <c r="B82" s="77">
        <f t="shared" ref="B82:AK82" si="28">B34/(B$9/1000)</f>
        <v>0</v>
      </c>
      <c r="C82" s="77">
        <f t="shared" si="28"/>
        <v>0</v>
      </c>
      <c r="D82" s="77">
        <f t="shared" si="28"/>
        <v>0</v>
      </c>
      <c r="E82" s="77">
        <f t="shared" si="28"/>
        <v>0</v>
      </c>
      <c r="F82" s="77">
        <f t="shared" si="28"/>
        <v>0</v>
      </c>
      <c r="G82" s="77">
        <f t="shared" si="28"/>
        <v>0</v>
      </c>
      <c r="H82" s="77">
        <f t="shared" si="28"/>
        <v>0</v>
      </c>
      <c r="I82" s="77">
        <f t="shared" si="28"/>
        <v>0</v>
      </c>
      <c r="J82" s="77">
        <f t="shared" si="28"/>
        <v>0</v>
      </c>
      <c r="K82" s="77">
        <f t="shared" si="28"/>
        <v>0</v>
      </c>
      <c r="L82" s="77">
        <f t="shared" si="28"/>
        <v>0</v>
      </c>
      <c r="M82" s="77">
        <f t="shared" si="28"/>
        <v>0</v>
      </c>
      <c r="N82" s="77">
        <f t="shared" si="28"/>
        <v>0</v>
      </c>
      <c r="O82" s="77">
        <f t="shared" si="28"/>
        <v>0</v>
      </c>
      <c r="P82" s="77">
        <f t="shared" si="28"/>
        <v>0</v>
      </c>
      <c r="Q82" s="77">
        <f t="shared" si="28"/>
        <v>0</v>
      </c>
      <c r="R82" s="77">
        <f t="shared" si="28"/>
        <v>0</v>
      </c>
      <c r="S82" s="77">
        <f t="shared" si="28"/>
        <v>0</v>
      </c>
      <c r="T82" s="77">
        <f t="shared" si="28"/>
        <v>0</v>
      </c>
      <c r="U82" s="77">
        <f t="shared" si="28"/>
        <v>0</v>
      </c>
      <c r="V82" s="77">
        <f t="shared" si="28"/>
        <v>0</v>
      </c>
      <c r="W82" s="77">
        <f t="shared" si="28"/>
        <v>0</v>
      </c>
      <c r="X82" s="77">
        <f t="shared" si="28"/>
        <v>0</v>
      </c>
      <c r="Y82" s="77">
        <f t="shared" si="28"/>
        <v>0</v>
      </c>
      <c r="Z82" s="77">
        <f t="shared" si="28"/>
        <v>0</v>
      </c>
      <c r="AA82" s="77">
        <f t="shared" si="28"/>
        <v>0</v>
      </c>
      <c r="AB82" s="77">
        <f t="shared" si="28"/>
        <v>0</v>
      </c>
      <c r="AC82" s="77">
        <f t="shared" si="28"/>
        <v>0</v>
      </c>
      <c r="AD82" s="77">
        <f t="shared" si="28"/>
        <v>0</v>
      </c>
      <c r="AE82" s="77">
        <f t="shared" si="28"/>
        <v>0</v>
      </c>
      <c r="AF82" s="77">
        <f t="shared" si="28"/>
        <v>0</v>
      </c>
      <c r="AG82" s="77">
        <f t="shared" si="28"/>
        <v>0</v>
      </c>
      <c r="AH82" s="77">
        <f t="shared" si="28"/>
        <v>0</v>
      </c>
      <c r="AI82" s="77">
        <f t="shared" si="28"/>
        <v>0</v>
      </c>
      <c r="AJ82" s="77">
        <f t="shared" si="28"/>
        <v>0</v>
      </c>
      <c r="AK82" s="77">
        <f t="shared" si="28"/>
        <v>0</v>
      </c>
      <c r="AL82" s="78"/>
      <c r="AM82" s="232">
        <v>0</v>
      </c>
    </row>
    <row r="83" spans="1:246" s="47" customFormat="1" ht="13.5" thickBot="1" x14ac:dyDescent="0.25">
      <c r="A83" s="10" t="s">
        <v>20</v>
      </c>
      <c r="B83" s="80">
        <f t="shared" ref="B83:AK83" si="29">B35/(B$9/1000)</f>
        <v>0</v>
      </c>
      <c r="C83" s="77">
        <f t="shared" si="29"/>
        <v>0.6678961746765204</v>
      </c>
      <c r="D83" s="77">
        <f t="shared" si="29"/>
        <v>0</v>
      </c>
      <c r="E83" s="77">
        <f t="shared" si="29"/>
        <v>0.05</v>
      </c>
      <c r="F83" s="77">
        <f t="shared" si="29"/>
        <v>0</v>
      </c>
      <c r="G83" s="77">
        <f t="shared" si="29"/>
        <v>0</v>
      </c>
      <c r="H83" s="80">
        <f t="shared" si="29"/>
        <v>0</v>
      </c>
      <c r="I83" s="80">
        <f t="shared" si="29"/>
        <v>0</v>
      </c>
      <c r="J83" s="80">
        <f t="shared" si="29"/>
        <v>0</v>
      </c>
      <c r="K83" s="80">
        <f t="shared" si="29"/>
        <v>0</v>
      </c>
      <c r="L83" s="80">
        <f t="shared" si="29"/>
        <v>8.1822000000000006E-2</v>
      </c>
      <c r="M83" s="80">
        <f t="shared" si="29"/>
        <v>3.8865137971239798E-2</v>
      </c>
      <c r="N83" s="80">
        <f t="shared" si="29"/>
        <v>0.4378445669571403</v>
      </c>
      <c r="O83" s="80">
        <f t="shared" si="29"/>
        <v>6.7391304347826084</v>
      </c>
      <c r="P83" s="80">
        <f t="shared" si="29"/>
        <v>0.32822757111597373</v>
      </c>
      <c r="Q83" s="80">
        <f t="shared" si="29"/>
        <v>5.1956084737900107E-3</v>
      </c>
      <c r="R83" s="80">
        <f t="shared" si="29"/>
        <v>3.2858499525166195E-2</v>
      </c>
      <c r="S83" s="80">
        <f t="shared" si="29"/>
        <v>3.844566906881447E-2</v>
      </c>
      <c r="T83" s="80">
        <f t="shared" si="29"/>
        <v>7.5693025970236361E-2</v>
      </c>
      <c r="U83" s="80">
        <f t="shared" si="29"/>
        <v>0.9864101943705138</v>
      </c>
      <c r="V83" s="80">
        <f t="shared" si="29"/>
        <v>1.3368925691871867E-2</v>
      </c>
      <c r="W83" s="80">
        <f t="shared" si="29"/>
        <v>6.6646489104116219E-2</v>
      </c>
      <c r="X83" s="80">
        <f t="shared" si="29"/>
        <v>0.18910654562828477</v>
      </c>
      <c r="Y83" s="80">
        <f t="shared" si="29"/>
        <v>9.0255385932372659E-2</v>
      </c>
      <c r="Z83" s="80">
        <f t="shared" si="29"/>
        <v>5.0182856744801642E-2</v>
      </c>
      <c r="AA83" s="80">
        <f t="shared" si="29"/>
        <v>6.1549039155694589E-2</v>
      </c>
      <c r="AB83" s="80">
        <f t="shared" si="29"/>
        <v>0.18795243695282896</v>
      </c>
      <c r="AC83" s="80">
        <f t="shared" si="29"/>
        <v>5.6806444949390619E-2</v>
      </c>
      <c r="AD83" s="80">
        <f t="shared" si="29"/>
        <v>1.2042617305208782E-2</v>
      </c>
      <c r="AE83" s="80">
        <f t="shared" si="29"/>
        <v>5.6520446096654277E-2</v>
      </c>
      <c r="AF83" s="80">
        <f t="shared" si="29"/>
        <v>9.0991959850463461E-2</v>
      </c>
      <c r="AG83" s="80">
        <f t="shared" si="29"/>
        <v>3.7985270715369529E-2</v>
      </c>
      <c r="AH83" s="80">
        <f t="shared" si="29"/>
        <v>4.0523619806488331E-2</v>
      </c>
      <c r="AI83" s="80">
        <f t="shared" si="29"/>
        <v>2.9041863723944648E-2</v>
      </c>
      <c r="AJ83" s="80">
        <f t="shared" si="29"/>
        <v>0</v>
      </c>
      <c r="AK83" s="80">
        <f t="shared" si="29"/>
        <v>5.9108641683414113E-2</v>
      </c>
      <c r="AL83" s="81"/>
      <c r="AM83" s="233">
        <v>0.27054583362517765</v>
      </c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22"/>
      <c r="GD83" s="22"/>
      <c r="GE83" s="22"/>
      <c r="GF83" s="22"/>
      <c r="GG83" s="22"/>
      <c r="GH83" s="22"/>
      <c r="GI83" s="22"/>
      <c r="GJ83" s="22"/>
      <c r="GK83" s="22"/>
      <c r="GL83" s="22"/>
      <c r="GM83" s="22"/>
      <c r="GN83" s="22"/>
      <c r="GO83" s="22"/>
      <c r="GP83" s="22"/>
      <c r="GQ83" s="22"/>
      <c r="GR83" s="22"/>
      <c r="GS83" s="22"/>
      <c r="GT83" s="22"/>
      <c r="GU83" s="22"/>
      <c r="GV83" s="22"/>
      <c r="GW83" s="22"/>
      <c r="GX83" s="22"/>
      <c r="GY83" s="22"/>
      <c r="GZ83" s="22"/>
      <c r="HA83" s="22"/>
      <c r="HB83" s="22"/>
      <c r="HC83" s="22"/>
      <c r="HD83" s="22"/>
      <c r="HE83" s="22"/>
      <c r="HF83" s="22"/>
      <c r="HG83" s="22"/>
      <c r="HH83" s="22"/>
      <c r="HI83" s="22"/>
      <c r="HJ83" s="22"/>
      <c r="HK83" s="22"/>
      <c r="HL83" s="22"/>
      <c r="HM83" s="22"/>
      <c r="HN83" s="22"/>
      <c r="HO83" s="22"/>
      <c r="HP83" s="22"/>
      <c r="HQ83" s="22"/>
      <c r="HR83" s="22"/>
      <c r="HS83" s="22"/>
      <c r="HT83" s="22"/>
      <c r="HU83" s="22"/>
      <c r="HV83" s="22"/>
      <c r="HW83" s="22"/>
      <c r="HX83" s="22"/>
      <c r="HY83" s="22"/>
      <c r="HZ83" s="22"/>
      <c r="IA83" s="22"/>
      <c r="IB83" s="22"/>
      <c r="IC83" s="22"/>
      <c r="ID83" s="22"/>
      <c r="IE83" s="22"/>
      <c r="IF83" s="22"/>
      <c r="IG83" s="22"/>
      <c r="IH83" s="22"/>
      <c r="II83" s="22"/>
      <c r="IJ83" s="22"/>
      <c r="IK83" s="22"/>
      <c r="IL83" s="22"/>
    </row>
    <row r="84" spans="1:246" ht="15" x14ac:dyDescent="0.25">
      <c r="A84" s="95" t="s">
        <v>54</v>
      </c>
      <c r="B84" s="106" t="s">
        <v>53</v>
      </c>
      <c r="C84" s="106"/>
      <c r="D84" s="106"/>
      <c r="E84" s="106"/>
      <c r="F84" s="106"/>
      <c r="G84" s="106"/>
      <c r="H84" s="106" t="s">
        <v>53</v>
      </c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 t="s">
        <v>53</v>
      </c>
      <c r="V84" s="106" t="s">
        <v>53</v>
      </c>
      <c r="W84" s="106" t="s">
        <v>53</v>
      </c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60"/>
      <c r="AM84" s="228"/>
    </row>
    <row r="85" spans="1:246" x14ac:dyDescent="0.2">
      <c r="A85" s="3" t="s">
        <v>55</v>
      </c>
      <c r="B85" s="82">
        <f t="shared" ref="B85:AK85" si="30">B37/(B$9/1000)</f>
        <v>9.5238095238095233E-2</v>
      </c>
      <c r="C85" s="82">
        <f t="shared" si="30"/>
        <v>0.13678701478381619</v>
      </c>
      <c r="D85" s="82">
        <f t="shared" si="30"/>
        <v>6.5568037767189752E-2</v>
      </c>
      <c r="E85" s="82">
        <f t="shared" si="30"/>
        <v>0.19</v>
      </c>
      <c r="F85" s="82">
        <f t="shared" si="30"/>
        <v>0.16</v>
      </c>
      <c r="G85" s="82">
        <f t="shared" si="30"/>
        <v>0.16</v>
      </c>
      <c r="H85" s="82">
        <f t="shared" si="30"/>
        <v>0.90785766461442141</v>
      </c>
      <c r="I85" s="82">
        <f t="shared" si="30"/>
        <v>0.24930195452732348</v>
      </c>
      <c r="J85" s="82">
        <f t="shared" si="30"/>
        <v>0.32833257564277418</v>
      </c>
      <c r="K85" s="82">
        <f t="shared" si="30"/>
        <v>0.36694554528108031</v>
      </c>
      <c r="L85" s="82">
        <f t="shared" si="30"/>
        <v>0</v>
      </c>
      <c r="M85" s="82">
        <f t="shared" si="30"/>
        <v>0</v>
      </c>
      <c r="N85" s="82">
        <f t="shared" si="30"/>
        <v>0</v>
      </c>
      <c r="O85" s="82">
        <f t="shared" si="30"/>
        <v>0</v>
      </c>
      <c r="P85" s="82">
        <f t="shared" si="30"/>
        <v>0</v>
      </c>
      <c r="Q85" s="82">
        <f t="shared" si="30"/>
        <v>0.30227307870728315</v>
      </c>
      <c r="R85" s="82">
        <f t="shared" si="30"/>
        <v>0.30228271956667019</v>
      </c>
      <c r="S85" s="82">
        <f t="shared" si="30"/>
        <v>0.30228062738448497</v>
      </c>
      <c r="T85" s="82">
        <f t="shared" si="30"/>
        <v>0.37517195381216389</v>
      </c>
      <c r="U85" s="82">
        <f t="shared" si="30"/>
        <v>0</v>
      </c>
      <c r="V85" s="82">
        <f t="shared" si="30"/>
        <v>0.46354325561124426</v>
      </c>
      <c r="W85" s="82">
        <f t="shared" si="30"/>
        <v>0.39847154963680387</v>
      </c>
      <c r="X85" s="82">
        <f t="shared" si="30"/>
        <v>0.29820490068937272</v>
      </c>
      <c r="Y85" s="82">
        <f t="shared" si="30"/>
        <v>0.29820842590139207</v>
      </c>
      <c r="Z85" s="82">
        <f t="shared" si="30"/>
        <v>0.41003796454320646</v>
      </c>
      <c r="AA85" s="82">
        <f t="shared" si="30"/>
        <v>0.41003128330296673</v>
      </c>
      <c r="AB85" s="82">
        <f t="shared" si="30"/>
        <v>0</v>
      </c>
      <c r="AC85" s="82">
        <f t="shared" si="30"/>
        <v>0</v>
      </c>
      <c r="AD85" s="82">
        <f t="shared" si="30"/>
        <v>0.34438226431338786</v>
      </c>
      <c r="AE85" s="82">
        <f t="shared" si="30"/>
        <v>0.65576208178438666</v>
      </c>
      <c r="AF85" s="82">
        <f t="shared" si="30"/>
        <v>0.14083064474829723</v>
      </c>
      <c r="AG85" s="82">
        <f t="shared" si="30"/>
        <v>0.33307427556345065</v>
      </c>
      <c r="AH85" s="82">
        <f t="shared" si="30"/>
        <v>0.40473028520837284</v>
      </c>
      <c r="AI85" s="82">
        <f t="shared" si="30"/>
        <v>0.8582939218777369</v>
      </c>
      <c r="AJ85" s="82">
        <f t="shared" si="30"/>
        <v>0.2946977081585927</v>
      </c>
      <c r="AK85" s="82">
        <f t="shared" si="30"/>
        <v>0</v>
      </c>
      <c r="AL85" s="61"/>
      <c r="AM85" s="231">
        <v>0.18934237799062059</v>
      </c>
    </row>
    <row r="86" spans="1:246" x14ac:dyDescent="0.2">
      <c r="A86" s="3" t="s">
        <v>56</v>
      </c>
      <c r="B86" s="77">
        <f t="shared" ref="B86:AK86" si="31">B38/(B$9/1000)</f>
        <v>8.7999999999999995E-2</v>
      </c>
      <c r="C86" s="77">
        <f t="shared" si="31"/>
        <v>0.10999976497503823</v>
      </c>
      <c r="D86" s="77">
        <f t="shared" si="31"/>
        <v>8.7999956287974829E-2</v>
      </c>
      <c r="E86" s="77">
        <f t="shared" si="31"/>
        <v>0</v>
      </c>
      <c r="F86" s="77">
        <f t="shared" si="31"/>
        <v>0</v>
      </c>
      <c r="G86" s="77">
        <f t="shared" si="31"/>
        <v>0</v>
      </c>
      <c r="H86" s="77">
        <f t="shared" si="31"/>
        <v>0.79307106334133359</v>
      </c>
      <c r="I86" s="77">
        <f t="shared" si="31"/>
        <v>0.2289589150378939</v>
      </c>
      <c r="J86" s="77">
        <f t="shared" si="31"/>
        <v>0.26519169571147144</v>
      </c>
      <c r="K86" s="77">
        <f t="shared" si="31"/>
        <v>0.29355643622486421</v>
      </c>
      <c r="L86" s="77">
        <f t="shared" si="31"/>
        <v>0</v>
      </c>
      <c r="M86" s="77">
        <f t="shared" si="31"/>
        <v>1.554605518849592</v>
      </c>
      <c r="N86" s="77">
        <f t="shared" si="31"/>
        <v>1.0670460608216255</v>
      </c>
      <c r="O86" s="77">
        <f t="shared" si="31"/>
        <v>0</v>
      </c>
      <c r="P86" s="77">
        <f t="shared" si="31"/>
        <v>3.0634573304157549</v>
      </c>
      <c r="Q86" s="77">
        <f t="shared" si="31"/>
        <v>0.22931807638781507</v>
      </c>
      <c r="R86" s="77">
        <f t="shared" si="31"/>
        <v>0.22931307375751819</v>
      </c>
      <c r="S86" s="77">
        <f t="shared" si="31"/>
        <v>0.22931750741839763</v>
      </c>
      <c r="T86" s="77">
        <f t="shared" si="31"/>
        <v>0.16674309058318396</v>
      </c>
      <c r="U86" s="77">
        <f t="shared" si="31"/>
        <v>0</v>
      </c>
      <c r="V86" s="77">
        <f t="shared" si="31"/>
        <v>0</v>
      </c>
      <c r="W86" s="77">
        <f t="shared" si="31"/>
        <v>0</v>
      </c>
      <c r="X86" s="77">
        <f t="shared" si="31"/>
        <v>0.25583236639137258</v>
      </c>
      <c r="Y86" s="77">
        <f t="shared" si="31"/>
        <v>0.25583025905468482</v>
      </c>
      <c r="Z86" s="77">
        <f t="shared" si="31"/>
        <v>0.24117585594371496</v>
      </c>
      <c r="AA86" s="77">
        <f t="shared" si="31"/>
        <v>0.24117707724569426</v>
      </c>
      <c r="AB86" s="77">
        <f t="shared" si="31"/>
        <v>0</v>
      </c>
      <c r="AC86" s="77">
        <f t="shared" si="31"/>
        <v>0</v>
      </c>
      <c r="AD86" s="77">
        <f t="shared" si="31"/>
        <v>0.21523891519586741</v>
      </c>
      <c r="AE86" s="77">
        <f t="shared" si="31"/>
        <v>0.58141263940520449</v>
      </c>
      <c r="AF86" s="77">
        <f t="shared" si="31"/>
        <v>0.17923900240692375</v>
      </c>
      <c r="AG86" s="77">
        <f t="shared" si="31"/>
        <v>7.4016505680766814E-2</v>
      </c>
      <c r="AH86" s="77">
        <f t="shared" si="31"/>
        <v>0.12647821412761651</v>
      </c>
      <c r="AI86" s="77">
        <f t="shared" si="31"/>
        <v>0</v>
      </c>
      <c r="AJ86" s="77">
        <f t="shared" si="31"/>
        <v>0.23802507197424796</v>
      </c>
      <c r="AK86" s="77">
        <f t="shared" si="31"/>
        <v>1.8205461638491547</v>
      </c>
      <c r="AL86" s="61"/>
      <c r="AM86" s="232">
        <v>0.16448053861136613</v>
      </c>
    </row>
    <row r="87" spans="1:246" ht="13.5" thickBot="1" x14ac:dyDescent="0.25">
      <c r="A87" s="15" t="s">
        <v>57</v>
      </c>
      <c r="B87" s="77">
        <f t="shared" ref="B87:AK87" si="32">B39/(B$9/1000)</f>
        <v>7.9365079365079361E-2</v>
      </c>
      <c r="C87" s="77">
        <f t="shared" si="32"/>
        <v>0.12504074076883503</v>
      </c>
      <c r="D87" s="77">
        <f t="shared" si="32"/>
        <v>5.1908029899025224E-2</v>
      </c>
      <c r="E87" s="77">
        <f t="shared" si="32"/>
        <v>0</v>
      </c>
      <c r="F87" s="77">
        <f t="shared" si="32"/>
        <v>0</v>
      </c>
      <c r="G87" s="77">
        <f t="shared" si="32"/>
        <v>0</v>
      </c>
      <c r="H87" s="77">
        <f t="shared" si="32"/>
        <v>0</v>
      </c>
      <c r="I87" s="77">
        <f t="shared" si="32"/>
        <v>0</v>
      </c>
      <c r="J87" s="77">
        <f t="shared" si="32"/>
        <v>0</v>
      </c>
      <c r="K87" s="77">
        <f t="shared" si="32"/>
        <v>0</v>
      </c>
      <c r="L87" s="77">
        <f t="shared" si="32"/>
        <v>0</v>
      </c>
      <c r="M87" s="77">
        <f t="shared" si="32"/>
        <v>0</v>
      </c>
      <c r="N87" s="77">
        <f t="shared" si="32"/>
        <v>0</v>
      </c>
      <c r="O87" s="77">
        <f t="shared" si="32"/>
        <v>0</v>
      </c>
      <c r="P87" s="77">
        <f t="shared" si="32"/>
        <v>0</v>
      </c>
      <c r="Q87" s="77">
        <f t="shared" si="32"/>
        <v>0.1042368950054121</v>
      </c>
      <c r="R87" s="77">
        <f t="shared" si="32"/>
        <v>0.10423129682388942</v>
      </c>
      <c r="S87" s="77">
        <f t="shared" si="32"/>
        <v>0.10423625830154019</v>
      </c>
      <c r="T87" s="77">
        <f t="shared" si="32"/>
        <v>0.45854349910375591</v>
      </c>
      <c r="U87" s="77">
        <f t="shared" si="32"/>
        <v>0</v>
      </c>
      <c r="V87" s="77">
        <f t="shared" si="32"/>
        <v>0.38008280671170191</v>
      </c>
      <c r="W87" s="77">
        <f t="shared" si="32"/>
        <v>0.38008474576271184</v>
      </c>
      <c r="X87" s="77">
        <f t="shared" si="32"/>
        <v>0.30448433554023618</v>
      </c>
      <c r="Y87" s="77">
        <f t="shared" si="32"/>
        <v>0.30448606893178159</v>
      </c>
      <c r="Z87" s="77">
        <f t="shared" si="32"/>
        <v>0</v>
      </c>
      <c r="AA87" s="77">
        <f t="shared" si="32"/>
        <v>0</v>
      </c>
      <c r="AB87" s="77">
        <f t="shared" si="32"/>
        <v>0</v>
      </c>
      <c r="AC87" s="77">
        <f t="shared" si="32"/>
        <v>0</v>
      </c>
      <c r="AD87" s="77">
        <f t="shared" si="32"/>
        <v>0.35514421007318125</v>
      </c>
      <c r="AE87" s="77">
        <f t="shared" si="32"/>
        <v>0</v>
      </c>
      <c r="AF87" s="77">
        <f t="shared" si="32"/>
        <v>0</v>
      </c>
      <c r="AG87" s="77">
        <f t="shared" si="32"/>
        <v>0.37008252840383404</v>
      </c>
      <c r="AH87" s="77">
        <f t="shared" si="32"/>
        <v>0</v>
      </c>
      <c r="AI87" s="77">
        <f t="shared" si="32"/>
        <v>0.80574531441583463</v>
      </c>
      <c r="AJ87" s="77">
        <f t="shared" si="32"/>
        <v>0.1813524357899032</v>
      </c>
      <c r="AK87" s="77">
        <f t="shared" si="32"/>
        <v>0</v>
      </c>
      <c r="AL87" s="16"/>
      <c r="AM87" s="232">
        <v>0.1382978884433908</v>
      </c>
    </row>
    <row r="88" spans="1:246" s="43" customFormat="1" ht="13.5" thickBot="1" x14ac:dyDescent="0.25">
      <c r="A88" s="83" t="s">
        <v>39</v>
      </c>
      <c r="B88" s="84">
        <f t="shared" ref="B88:AK88" si="33">B40/(B$9/1000)</f>
        <v>0.59345952380952383</v>
      </c>
      <c r="C88" s="84">
        <f t="shared" si="33"/>
        <v>2.1968697162129542</v>
      </c>
      <c r="D88" s="84">
        <f t="shared" si="33"/>
        <v>0.55024697294225644</v>
      </c>
      <c r="E88" s="84">
        <f t="shared" si="33"/>
        <v>1.8117000000000001</v>
      </c>
      <c r="F88" s="84">
        <f t="shared" si="33"/>
        <v>1.7587839999999999</v>
      </c>
      <c r="G88" s="84">
        <f t="shared" si="33"/>
        <v>1.7050320000000001</v>
      </c>
      <c r="H88" s="84">
        <f t="shared" si="33"/>
        <v>4.5303349681728058</v>
      </c>
      <c r="I88" s="84">
        <f t="shared" si="33"/>
        <v>1.1535221380135621</v>
      </c>
      <c r="J88" s="84">
        <f t="shared" si="33"/>
        <v>1.1968783148961963</v>
      </c>
      <c r="K88" s="84">
        <f t="shared" si="33"/>
        <v>2.3253632760898282</v>
      </c>
      <c r="L88" s="84">
        <f t="shared" si="33"/>
        <v>2.148002</v>
      </c>
      <c r="M88" s="84">
        <f t="shared" si="33"/>
        <v>11.012048192771084</v>
      </c>
      <c r="N88" s="84">
        <f t="shared" si="33"/>
        <v>10.014405121821092</v>
      </c>
      <c r="O88" s="84">
        <f t="shared" si="33"/>
        <v>13.538043478260869</v>
      </c>
      <c r="P88" s="84">
        <f t="shared" si="33"/>
        <v>30.184901531728666</v>
      </c>
      <c r="Q88" s="84">
        <f t="shared" si="33"/>
        <v>1.8235812586980054</v>
      </c>
      <c r="R88" s="84">
        <f t="shared" si="33"/>
        <v>1.6832260560655623</v>
      </c>
      <c r="S88" s="84">
        <f t="shared" si="33"/>
        <v>1.9406076020912817</v>
      </c>
      <c r="T88" s="84">
        <f t="shared" si="33"/>
        <v>3.4174580015840594</v>
      </c>
      <c r="U88" s="84">
        <f t="shared" si="33"/>
        <v>12.684127752238084</v>
      </c>
      <c r="V88" s="84">
        <f t="shared" si="33"/>
        <v>1.9936968838526912</v>
      </c>
      <c r="W88" s="84">
        <f t="shared" si="33"/>
        <v>2.0056068401937046</v>
      </c>
      <c r="X88" s="84">
        <f t="shared" si="33"/>
        <v>2.7694628353013444</v>
      </c>
      <c r="Y88" s="84">
        <f t="shared" si="33"/>
        <v>2.3729164543546055</v>
      </c>
      <c r="Z88" s="84">
        <f t="shared" si="33"/>
        <v>1.8808261641879418</v>
      </c>
      <c r="AA88" s="84">
        <f t="shared" si="33"/>
        <v>1.8907490804084017</v>
      </c>
      <c r="AB88" s="84">
        <f t="shared" si="33"/>
        <v>2.1906441918202013</v>
      </c>
      <c r="AC88" s="84">
        <f t="shared" si="33"/>
        <v>1.5600495765337741</v>
      </c>
      <c r="AD88" s="84">
        <f t="shared" si="33"/>
        <v>3.128282393456737</v>
      </c>
      <c r="AE88" s="84">
        <f t="shared" si="33"/>
        <v>3.0812044609665428</v>
      </c>
      <c r="AF88" s="84">
        <f t="shared" si="33"/>
        <v>0.86998898960413784</v>
      </c>
      <c r="AG88" s="84">
        <f t="shared" si="33"/>
        <v>2.3369009289071463</v>
      </c>
      <c r="AH88" s="84">
        <f t="shared" si="33"/>
        <v>3.9228103459179158</v>
      </c>
      <c r="AI88" s="84">
        <f t="shared" si="33"/>
        <v>4.2840077071290947</v>
      </c>
      <c r="AJ88" s="84">
        <f t="shared" si="33"/>
        <v>1.2302042481808084</v>
      </c>
      <c r="AK88" s="84">
        <f t="shared" si="33"/>
        <v>12.461007999369508</v>
      </c>
      <c r="AL88" s="85"/>
      <c r="AM88" s="234">
        <v>1.6228238034673945</v>
      </c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  <c r="EI88" s="22"/>
      <c r="EJ88" s="22"/>
      <c r="EK88" s="22"/>
      <c r="EL88" s="22"/>
      <c r="EM88" s="22"/>
      <c r="EN88" s="22"/>
      <c r="EO88" s="22"/>
      <c r="EP88" s="22"/>
      <c r="EQ88" s="22"/>
      <c r="ER88" s="22"/>
      <c r="ES88" s="22"/>
      <c r="ET88" s="22"/>
      <c r="EU88" s="22"/>
      <c r="EV88" s="22"/>
      <c r="EW88" s="22"/>
      <c r="EX88" s="22"/>
      <c r="EY88" s="22"/>
      <c r="EZ88" s="22"/>
      <c r="FA88" s="22"/>
      <c r="FB88" s="22"/>
      <c r="FC88" s="22"/>
      <c r="FD88" s="22"/>
      <c r="FE88" s="22"/>
      <c r="FF88" s="22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  <c r="FX88" s="22"/>
      <c r="FY88" s="22"/>
      <c r="FZ88" s="22"/>
      <c r="GA88" s="22"/>
      <c r="GB88" s="22"/>
      <c r="GC88" s="22"/>
      <c r="GD88" s="22"/>
      <c r="GE88" s="22"/>
      <c r="GF88" s="22"/>
      <c r="GG88" s="22"/>
      <c r="GH88" s="22"/>
      <c r="GI88" s="22"/>
      <c r="GJ88" s="22"/>
      <c r="GK88" s="22"/>
      <c r="GL88" s="22"/>
      <c r="GM88" s="22"/>
      <c r="GN88" s="22"/>
      <c r="GO88" s="22"/>
      <c r="GP88" s="22"/>
      <c r="GQ88" s="22"/>
      <c r="GR88" s="22"/>
      <c r="GS88" s="22"/>
      <c r="GT88" s="22"/>
      <c r="GU88" s="22"/>
      <c r="GV88" s="22"/>
      <c r="GW88" s="22"/>
      <c r="GX88" s="22"/>
      <c r="GY88" s="22"/>
      <c r="GZ88" s="22"/>
      <c r="HA88" s="22"/>
      <c r="HB88" s="22"/>
      <c r="HC88" s="22"/>
      <c r="HD88" s="22"/>
      <c r="HE88" s="22"/>
      <c r="HF88" s="22"/>
      <c r="HG88" s="22"/>
      <c r="HH88" s="22"/>
      <c r="HI88" s="22"/>
      <c r="HJ88" s="22"/>
      <c r="HK88" s="22"/>
      <c r="HL88" s="22"/>
      <c r="HM88" s="22"/>
      <c r="HN88" s="22"/>
      <c r="HO88" s="22"/>
      <c r="HP88" s="22"/>
      <c r="HQ88" s="22"/>
      <c r="HR88" s="22"/>
      <c r="HS88" s="22"/>
      <c r="HT88" s="22"/>
      <c r="HU88" s="22"/>
      <c r="HV88" s="22"/>
      <c r="HW88" s="22"/>
      <c r="HX88" s="22"/>
      <c r="HY88" s="22"/>
      <c r="HZ88" s="22"/>
      <c r="IA88" s="22"/>
      <c r="IB88" s="22"/>
      <c r="IC88" s="22"/>
      <c r="ID88" s="22"/>
      <c r="IE88" s="22"/>
      <c r="IF88" s="22"/>
      <c r="IG88" s="22"/>
      <c r="IH88" s="22"/>
      <c r="II88" s="22"/>
      <c r="IJ88" s="22"/>
      <c r="IK88" s="22"/>
      <c r="IL88" s="22"/>
    </row>
    <row r="89" spans="1:246" ht="15.75" thickBot="1" x14ac:dyDescent="0.3">
      <c r="A89" s="100" t="s">
        <v>40</v>
      </c>
      <c r="B89" s="77">
        <f t="shared" ref="B89:AK89" si="34">B41/(B$9/1000)</f>
        <v>0</v>
      </c>
      <c r="C89" s="77">
        <f t="shared" si="34"/>
        <v>0</v>
      </c>
      <c r="D89" s="77">
        <f t="shared" si="34"/>
        <v>0</v>
      </c>
      <c r="E89" s="77">
        <f t="shared" si="34"/>
        <v>0</v>
      </c>
      <c r="F89" s="77">
        <f t="shared" si="34"/>
        <v>0</v>
      </c>
      <c r="G89" s="77">
        <f t="shared" si="34"/>
        <v>0</v>
      </c>
      <c r="H89" s="77">
        <f t="shared" si="34"/>
        <v>0</v>
      </c>
      <c r="I89" s="77">
        <f t="shared" si="34"/>
        <v>0</v>
      </c>
      <c r="J89" s="77">
        <f t="shared" si="34"/>
        <v>0</v>
      </c>
      <c r="K89" s="77">
        <f t="shared" si="34"/>
        <v>0</v>
      </c>
      <c r="L89" s="77">
        <f t="shared" si="34"/>
        <v>0</v>
      </c>
      <c r="M89" s="77">
        <f t="shared" si="34"/>
        <v>0</v>
      </c>
      <c r="N89" s="77">
        <f t="shared" si="34"/>
        <v>0</v>
      </c>
      <c r="O89" s="77">
        <f t="shared" si="34"/>
        <v>0</v>
      </c>
      <c r="P89" s="77">
        <f t="shared" si="34"/>
        <v>0</v>
      </c>
      <c r="Q89" s="77">
        <f t="shared" si="34"/>
        <v>0</v>
      </c>
      <c r="R89" s="77">
        <f t="shared" si="34"/>
        <v>0</v>
      </c>
      <c r="S89" s="77">
        <f t="shared" si="34"/>
        <v>0</v>
      </c>
      <c r="T89" s="77">
        <f t="shared" si="34"/>
        <v>0</v>
      </c>
      <c r="U89" s="77">
        <f t="shared" si="34"/>
        <v>0</v>
      </c>
      <c r="V89" s="77">
        <f t="shared" si="34"/>
        <v>0</v>
      </c>
      <c r="W89" s="77">
        <f t="shared" si="34"/>
        <v>0</v>
      </c>
      <c r="X89" s="77">
        <f t="shared" si="34"/>
        <v>0</v>
      </c>
      <c r="Y89" s="77">
        <f t="shared" si="34"/>
        <v>0</v>
      </c>
      <c r="Z89" s="77">
        <f t="shared" si="34"/>
        <v>0</v>
      </c>
      <c r="AA89" s="77">
        <f t="shared" si="34"/>
        <v>0</v>
      </c>
      <c r="AB89" s="77">
        <f t="shared" si="34"/>
        <v>0</v>
      </c>
      <c r="AC89" s="77">
        <f t="shared" si="34"/>
        <v>0</v>
      </c>
      <c r="AD89" s="77">
        <f t="shared" si="34"/>
        <v>0</v>
      </c>
      <c r="AE89" s="77">
        <f t="shared" si="34"/>
        <v>0</v>
      </c>
      <c r="AF89" s="77">
        <f t="shared" si="34"/>
        <v>0</v>
      </c>
      <c r="AG89" s="77">
        <f t="shared" si="34"/>
        <v>0</v>
      </c>
      <c r="AH89" s="77">
        <f t="shared" si="34"/>
        <v>0</v>
      </c>
      <c r="AI89" s="77">
        <f t="shared" si="34"/>
        <v>0</v>
      </c>
      <c r="AJ89" s="77">
        <f t="shared" si="34"/>
        <v>0</v>
      </c>
      <c r="AK89" s="77">
        <f t="shared" si="34"/>
        <v>0</v>
      </c>
      <c r="AL89" s="86"/>
      <c r="AM89" s="232">
        <v>0</v>
      </c>
    </row>
    <row r="90" spans="1:246" s="47" customFormat="1" ht="13.5" thickBot="1" x14ac:dyDescent="0.25">
      <c r="A90" s="83" t="s">
        <v>41</v>
      </c>
      <c r="B90" s="84">
        <f t="shared" ref="B90:AK90" si="35">B42/(B$9/1000)</f>
        <v>0.59345952380952383</v>
      </c>
      <c r="C90" s="84">
        <f t="shared" si="35"/>
        <v>2.1968697162129542</v>
      </c>
      <c r="D90" s="84">
        <f t="shared" si="35"/>
        <v>0.55024697294225644</v>
      </c>
      <c r="E90" s="84">
        <f t="shared" si="35"/>
        <v>1.8117000000000001</v>
      </c>
      <c r="F90" s="84">
        <f t="shared" si="35"/>
        <v>1.7587839999999999</v>
      </c>
      <c r="G90" s="84">
        <f t="shared" si="35"/>
        <v>1.7050320000000001</v>
      </c>
      <c r="H90" s="84">
        <f t="shared" si="35"/>
        <v>4.5303349681728058</v>
      </c>
      <c r="I90" s="84">
        <f t="shared" si="35"/>
        <v>1.1535221380135621</v>
      </c>
      <c r="J90" s="84">
        <f t="shared" si="35"/>
        <v>1.1968783148961963</v>
      </c>
      <c r="K90" s="84">
        <f t="shared" si="35"/>
        <v>2.3253632760898282</v>
      </c>
      <c r="L90" s="84">
        <f t="shared" si="35"/>
        <v>2.148002</v>
      </c>
      <c r="M90" s="84">
        <f t="shared" si="35"/>
        <v>11.012048192771084</v>
      </c>
      <c r="N90" s="84">
        <f t="shared" si="35"/>
        <v>10.014405121821092</v>
      </c>
      <c r="O90" s="84">
        <f t="shared" si="35"/>
        <v>13.538043478260869</v>
      </c>
      <c r="P90" s="84">
        <f t="shared" si="35"/>
        <v>30.184901531728666</v>
      </c>
      <c r="Q90" s="84">
        <f t="shared" si="35"/>
        <v>1.8235812586980054</v>
      </c>
      <c r="R90" s="84">
        <f t="shared" si="35"/>
        <v>1.6832260560655623</v>
      </c>
      <c r="S90" s="84">
        <f t="shared" si="35"/>
        <v>1.9406076020912817</v>
      </c>
      <c r="T90" s="84">
        <f t="shared" si="35"/>
        <v>3.4174580015840594</v>
      </c>
      <c r="U90" s="84">
        <f t="shared" si="35"/>
        <v>12.684127752238084</v>
      </c>
      <c r="V90" s="84">
        <f t="shared" si="35"/>
        <v>1.9936968838526912</v>
      </c>
      <c r="W90" s="84">
        <f t="shared" si="35"/>
        <v>2.0056068401937046</v>
      </c>
      <c r="X90" s="84">
        <f t="shared" si="35"/>
        <v>2.7694628353013444</v>
      </c>
      <c r="Y90" s="84">
        <f t="shared" si="35"/>
        <v>2.3729164543546055</v>
      </c>
      <c r="Z90" s="84">
        <f t="shared" si="35"/>
        <v>1.8808261641879418</v>
      </c>
      <c r="AA90" s="84">
        <f t="shared" si="35"/>
        <v>1.8907490804084017</v>
      </c>
      <c r="AB90" s="84">
        <f t="shared" si="35"/>
        <v>2.1906441918202013</v>
      </c>
      <c r="AC90" s="84">
        <f t="shared" si="35"/>
        <v>1.5600495765337741</v>
      </c>
      <c r="AD90" s="84">
        <f t="shared" si="35"/>
        <v>3.128282393456737</v>
      </c>
      <c r="AE90" s="84">
        <f t="shared" si="35"/>
        <v>3.0812044609665428</v>
      </c>
      <c r="AF90" s="84">
        <f t="shared" si="35"/>
        <v>0.86998898960413784</v>
      </c>
      <c r="AG90" s="84">
        <f t="shared" si="35"/>
        <v>2.3369009289071463</v>
      </c>
      <c r="AH90" s="84">
        <f t="shared" si="35"/>
        <v>3.9228103459179158</v>
      </c>
      <c r="AI90" s="84">
        <f t="shared" si="35"/>
        <v>4.2840077071290947</v>
      </c>
      <c r="AJ90" s="84">
        <f t="shared" si="35"/>
        <v>1.2302042481808084</v>
      </c>
      <c r="AK90" s="84">
        <f t="shared" si="35"/>
        <v>12.461007999369508</v>
      </c>
      <c r="AL90" s="87"/>
      <c r="AM90" s="234">
        <v>1.6228238034673945</v>
      </c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  <c r="EI90" s="22"/>
      <c r="EJ90" s="22"/>
      <c r="EK90" s="22"/>
      <c r="EL90" s="22"/>
      <c r="EM90" s="22"/>
      <c r="EN90" s="22"/>
      <c r="EO90" s="22"/>
      <c r="EP90" s="22"/>
      <c r="EQ90" s="22"/>
      <c r="ER90" s="22"/>
      <c r="ES90" s="22"/>
      <c r="ET90" s="22"/>
      <c r="EU90" s="22"/>
      <c r="EV90" s="22"/>
      <c r="EW90" s="22"/>
      <c r="EX90" s="22"/>
      <c r="EY90" s="22"/>
      <c r="EZ90" s="22"/>
      <c r="FA90" s="22"/>
      <c r="FB90" s="22"/>
      <c r="FC90" s="22"/>
      <c r="FD90" s="22"/>
      <c r="FE90" s="22"/>
      <c r="FF90" s="22"/>
      <c r="FG90" s="22"/>
      <c r="FH90" s="22"/>
      <c r="FI90" s="22"/>
      <c r="FJ90" s="22"/>
      <c r="FK90" s="22"/>
      <c r="FL90" s="22"/>
      <c r="FM90" s="22"/>
      <c r="FN90" s="22"/>
      <c r="FO90" s="22"/>
      <c r="FP90" s="22"/>
      <c r="FQ90" s="22"/>
      <c r="FR90" s="22"/>
      <c r="FS90" s="22"/>
      <c r="FT90" s="22"/>
      <c r="FU90" s="22"/>
      <c r="FV90" s="22"/>
      <c r="FW90" s="22"/>
      <c r="FX90" s="22"/>
      <c r="FY90" s="22"/>
      <c r="FZ90" s="22"/>
      <c r="GA90" s="22"/>
      <c r="GB90" s="22"/>
      <c r="GC90" s="22"/>
      <c r="GD90" s="22"/>
      <c r="GE90" s="22"/>
      <c r="GF90" s="22"/>
      <c r="GG90" s="22"/>
      <c r="GH90" s="22"/>
      <c r="GI90" s="22"/>
      <c r="GJ90" s="22"/>
      <c r="GK90" s="22"/>
      <c r="GL90" s="22"/>
      <c r="GM90" s="22"/>
      <c r="GN90" s="22"/>
      <c r="GO90" s="22"/>
      <c r="GP90" s="22"/>
      <c r="GQ90" s="22"/>
      <c r="GR90" s="22"/>
      <c r="GS90" s="22"/>
      <c r="GT90" s="22"/>
      <c r="GU90" s="22"/>
      <c r="GV90" s="22"/>
      <c r="GW90" s="22"/>
      <c r="GX90" s="22"/>
      <c r="GY90" s="22"/>
      <c r="GZ90" s="22"/>
      <c r="HA90" s="22"/>
      <c r="HB90" s="22"/>
      <c r="HC90" s="22"/>
      <c r="HD90" s="22"/>
      <c r="HE90" s="22"/>
      <c r="HF90" s="22"/>
      <c r="HG90" s="22"/>
      <c r="HH90" s="22"/>
      <c r="HI90" s="22"/>
      <c r="HJ90" s="22"/>
      <c r="HK90" s="22"/>
      <c r="HL90" s="22"/>
      <c r="HM90" s="22"/>
      <c r="HN90" s="22"/>
      <c r="HO90" s="22"/>
      <c r="HP90" s="22"/>
      <c r="HQ90" s="22"/>
      <c r="HR90" s="22"/>
      <c r="HS90" s="22"/>
      <c r="HT90" s="22"/>
      <c r="HU90" s="22"/>
      <c r="HV90" s="22"/>
      <c r="HW90" s="22"/>
      <c r="HX90" s="22"/>
      <c r="HY90" s="22"/>
      <c r="HZ90" s="22"/>
      <c r="IA90" s="22"/>
      <c r="IB90" s="22"/>
      <c r="IC90" s="22"/>
      <c r="ID90" s="22"/>
      <c r="IE90" s="22"/>
      <c r="IF90" s="22"/>
      <c r="IG90" s="22"/>
      <c r="IH90" s="22"/>
      <c r="II90" s="22"/>
      <c r="IJ90" s="22"/>
      <c r="IK90" s="22"/>
      <c r="IL90" s="22"/>
    </row>
    <row r="91" spans="1:246" ht="13.5" thickBot="1" x14ac:dyDescent="0.25">
      <c r="A91" s="33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8"/>
      <c r="AM91" s="79"/>
    </row>
    <row r="92" spans="1:246" x14ac:dyDescent="0.2">
      <c r="A92" s="12" t="s">
        <v>58</v>
      </c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8"/>
      <c r="AK92" s="108"/>
      <c r="AL92" s="13"/>
      <c r="AM92" s="108"/>
    </row>
    <row r="93" spans="1:246" x14ac:dyDescent="0.2">
      <c r="A93" s="3" t="s">
        <v>59</v>
      </c>
      <c r="B93" s="77">
        <f t="shared" ref="B93:AK93" si="36">B45/(B$9/1000)</f>
        <v>0</v>
      </c>
      <c r="C93" s="77">
        <f t="shared" si="36"/>
        <v>0</v>
      </c>
      <c r="D93" s="77">
        <f t="shared" si="36"/>
        <v>0</v>
      </c>
      <c r="E93" s="77">
        <f t="shared" si="36"/>
        <v>0</v>
      </c>
      <c r="F93" s="77">
        <f t="shared" si="36"/>
        <v>0</v>
      </c>
      <c r="G93" s="77">
        <f t="shared" si="36"/>
        <v>0</v>
      </c>
      <c r="H93" s="77">
        <f t="shared" si="36"/>
        <v>0</v>
      </c>
      <c r="I93" s="77">
        <f t="shared" si="36"/>
        <v>0</v>
      </c>
      <c r="J93" s="77">
        <f t="shared" si="36"/>
        <v>0</v>
      </c>
      <c r="K93" s="77">
        <f t="shared" si="36"/>
        <v>0</v>
      </c>
      <c r="L93" s="77">
        <f t="shared" si="36"/>
        <v>0</v>
      </c>
      <c r="M93" s="77">
        <f t="shared" si="36"/>
        <v>1</v>
      </c>
      <c r="N93" s="77">
        <f t="shared" si="36"/>
        <v>0</v>
      </c>
      <c r="O93" s="77">
        <f t="shared" si="36"/>
        <v>0</v>
      </c>
      <c r="P93" s="77">
        <f t="shared" si="36"/>
        <v>2.9146608315098468</v>
      </c>
      <c r="Q93" s="77">
        <f t="shared" si="36"/>
        <v>0</v>
      </c>
      <c r="R93" s="77">
        <f t="shared" si="36"/>
        <v>0</v>
      </c>
      <c r="S93" s="77">
        <f t="shared" si="36"/>
        <v>0</v>
      </c>
      <c r="T93" s="77">
        <f t="shared" si="36"/>
        <v>0</v>
      </c>
      <c r="U93" s="77">
        <f t="shared" si="36"/>
        <v>0</v>
      </c>
      <c r="V93" s="77">
        <f t="shared" si="36"/>
        <v>0</v>
      </c>
      <c r="W93" s="77">
        <f t="shared" si="36"/>
        <v>0</v>
      </c>
      <c r="X93" s="77">
        <f t="shared" si="36"/>
        <v>0</v>
      </c>
      <c r="Y93" s="77">
        <f t="shared" si="36"/>
        <v>0</v>
      </c>
      <c r="Z93" s="77">
        <f t="shared" si="36"/>
        <v>0</v>
      </c>
      <c r="AA93" s="77">
        <f t="shared" si="36"/>
        <v>0</v>
      </c>
      <c r="AB93" s="77">
        <f t="shared" si="36"/>
        <v>0</v>
      </c>
      <c r="AC93" s="77">
        <f t="shared" si="36"/>
        <v>0</v>
      </c>
      <c r="AD93" s="77">
        <f t="shared" si="36"/>
        <v>0</v>
      </c>
      <c r="AE93" s="77">
        <f t="shared" si="36"/>
        <v>7.4042676579925653</v>
      </c>
      <c r="AF93" s="77">
        <f t="shared" si="36"/>
        <v>0</v>
      </c>
      <c r="AG93" s="77">
        <f t="shared" si="36"/>
        <v>0.33306687391288259</v>
      </c>
      <c r="AH93" s="77">
        <f t="shared" si="36"/>
        <v>0.25295642825523301</v>
      </c>
      <c r="AI93" s="77">
        <f t="shared" si="36"/>
        <v>0.25000875810124368</v>
      </c>
      <c r="AJ93" s="77">
        <f t="shared" si="36"/>
        <v>0</v>
      </c>
      <c r="AK93" s="77">
        <f t="shared" si="36"/>
        <v>0</v>
      </c>
      <c r="AL93" s="7"/>
      <c r="AM93" s="232">
        <v>1.6633069683749953</v>
      </c>
    </row>
    <row r="94" spans="1:246" x14ac:dyDescent="0.2">
      <c r="A94" s="3" t="s">
        <v>60</v>
      </c>
      <c r="B94" s="77">
        <f t="shared" ref="B94:AK94" si="37">B46/(B$9/1000)</f>
        <v>0</v>
      </c>
      <c r="C94" s="77">
        <f t="shared" si="37"/>
        <v>0</v>
      </c>
      <c r="D94" s="77">
        <f t="shared" si="37"/>
        <v>0</v>
      </c>
      <c r="E94" s="77">
        <f t="shared" si="37"/>
        <v>0</v>
      </c>
      <c r="F94" s="77">
        <f t="shared" si="37"/>
        <v>0</v>
      </c>
      <c r="G94" s="77">
        <f t="shared" si="37"/>
        <v>0</v>
      </c>
      <c r="H94" s="77">
        <f t="shared" si="37"/>
        <v>0</v>
      </c>
      <c r="I94" s="77">
        <f t="shared" si="37"/>
        <v>0</v>
      </c>
      <c r="J94" s="77">
        <f t="shared" si="37"/>
        <v>0</v>
      </c>
      <c r="K94" s="77">
        <f t="shared" si="37"/>
        <v>0</v>
      </c>
      <c r="L94" s="77">
        <f t="shared" si="37"/>
        <v>0</v>
      </c>
      <c r="M94" s="77">
        <f t="shared" si="37"/>
        <v>0</v>
      </c>
      <c r="N94" s="77">
        <f t="shared" si="37"/>
        <v>0</v>
      </c>
      <c r="O94" s="77">
        <f t="shared" si="37"/>
        <v>0</v>
      </c>
      <c r="P94" s="77">
        <f t="shared" si="37"/>
        <v>0</v>
      </c>
      <c r="Q94" s="77">
        <f t="shared" si="37"/>
        <v>0</v>
      </c>
      <c r="R94" s="77">
        <f t="shared" si="37"/>
        <v>0</v>
      </c>
      <c r="S94" s="77">
        <f t="shared" si="37"/>
        <v>0</v>
      </c>
      <c r="T94" s="77">
        <f t="shared" si="37"/>
        <v>0</v>
      </c>
      <c r="U94" s="77">
        <f t="shared" si="37"/>
        <v>0</v>
      </c>
      <c r="V94" s="77">
        <f t="shared" si="37"/>
        <v>0</v>
      </c>
      <c r="W94" s="77">
        <f t="shared" si="37"/>
        <v>0</v>
      </c>
      <c r="X94" s="77">
        <f t="shared" si="37"/>
        <v>0</v>
      </c>
      <c r="Y94" s="77">
        <f t="shared" si="37"/>
        <v>0</v>
      </c>
      <c r="Z94" s="77">
        <f t="shared" si="37"/>
        <v>2.2312005851415833E-2</v>
      </c>
      <c r="AA94" s="77">
        <f t="shared" si="37"/>
        <v>1.4182818247447488</v>
      </c>
      <c r="AB94" s="77">
        <f t="shared" si="37"/>
        <v>0</v>
      </c>
      <c r="AC94" s="77">
        <f t="shared" si="37"/>
        <v>0</v>
      </c>
      <c r="AD94" s="77">
        <f t="shared" si="37"/>
        <v>0</v>
      </c>
      <c r="AE94" s="77">
        <f t="shared" si="37"/>
        <v>0</v>
      </c>
      <c r="AF94" s="77">
        <f t="shared" si="37"/>
        <v>0</v>
      </c>
      <c r="AG94" s="77">
        <f t="shared" si="37"/>
        <v>0</v>
      </c>
      <c r="AH94" s="77">
        <f t="shared" si="37"/>
        <v>0</v>
      </c>
      <c r="AI94" s="77">
        <f t="shared" si="37"/>
        <v>0</v>
      </c>
      <c r="AJ94" s="77">
        <f t="shared" si="37"/>
        <v>0</v>
      </c>
      <c r="AK94" s="77">
        <f t="shared" si="37"/>
        <v>0</v>
      </c>
      <c r="AL94" s="7"/>
      <c r="AM94" s="232">
        <v>0.72486159169550179</v>
      </c>
    </row>
    <row r="95" spans="1:246" x14ac:dyDescent="0.2">
      <c r="A95" s="3" t="s">
        <v>61</v>
      </c>
      <c r="B95" s="77">
        <f t="shared" ref="B95:AK95" si="38">B47/(B$9/1000)</f>
        <v>3.4586666666666668</v>
      </c>
      <c r="C95" s="77">
        <f t="shared" si="38"/>
        <v>4.8048347743430835</v>
      </c>
      <c r="D95" s="77">
        <f t="shared" si="38"/>
        <v>3.4052181230056386</v>
      </c>
      <c r="E95" s="77">
        <f t="shared" si="38"/>
        <v>1</v>
      </c>
      <c r="F95" s="77">
        <f t="shared" si="38"/>
        <v>1</v>
      </c>
      <c r="G95" s="77">
        <f t="shared" si="38"/>
        <v>0</v>
      </c>
      <c r="H95" s="77">
        <f t="shared" si="38"/>
        <v>8.6600020870291132</v>
      </c>
      <c r="I95" s="77">
        <f t="shared" si="38"/>
        <v>5.0602153968887116</v>
      </c>
      <c r="J95" s="77">
        <f t="shared" si="38"/>
        <v>2.3461585088649795</v>
      </c>
      <c r="K95" s="77">
        <f t="shared" si="38"/>
        <v>1.7558050785263466</v>
      </c>
      <c r="L95" s="77">
        <f t="shared" si="38"/>
        <v>10</v>
      </c>
      <c r="M95" s="77">
        <f t="shared" si="38"/>
        <v>4.8241482057261305</v>
      </c>
      <c r="N95" s="77">
        <f t="shared" si="38"/>
        <v>0</v>
      </c>
      <c r="O95" s="77">
        <f t="shared" si="38"/>
        <v>0</v>
      </c>
      <c r="P95" s="77">
        <f t="shared" si="38"/>
        <v>4.8577680525164117</v>
      </c>
      <c r="Q95" s="77">
        <f t="shared" si="38"/>
        <v>2.0142415339415494</v>
      </c>
      <c r="R95" s="77">
        <f t="shared" si="38"/>
        <v>3.2064788435158804</v>
      </c>
      <c r="S95" s="77">
        <f t="shared" si="38"/>
        <v>2.6220714992228347</v>
      </c>
      <c r="T95" s="77">
        <f t="shared" si="38"/>
        <v>3.127841927550127</v>
      </c>
      <c r="U95" s="77">
        <f t="shared" si="38"/>
        <v>0</v>
      </c>
      <c r="V95" s="77">
        <f t="shared" si="38"/>
        <v>3.6977718457180213</v>
      </c>
      <c r="W95" s="77">
        <f t="shared" si="38"/>
        <v>3.7174863801452784</v>
      </c>
      <c r="X95" s="77">
        <f t="shared" si="38"/>
        <v>3.4882260596546311</v>
      </c>
      <c r="Y95" s="77">
        <f t="shared" si="38"/>
        <v>3.0207080692171289</v>
      </c>
      <c r="Z95" s="77">
        <f t="shared" si="38"/>
        <v>3.8826024868517295</v>
      </c>
      <c r="AA95" s="77">
        <f t="shared" si="38"/>
        <v>1.9806524803190209</v>
      </c>
      <c r="AB95" s="77">
        <f t="shared" si="38"/>
        <v>0</v>
      </c>
      <c r="AC95" s="77">
        <f t="shared" si="38"/>
        <v>0</v>
      </c>
      <c r="AD95" s="77">
        <f t="shared" si="38"/>
        <v>2.9834481274214379</v>
      </c>
      <c r="AE95" s="77">
        <f t="shared" si="38"/>
        <v>15.056594795539034</v>
      </c>
      <c r="AF95" s="77">
        <f t="shared" si="38"/>
        <v>3.4173592973831104</v>
      </c>
      <c r="AG95" s="77">
        <f t="shared" si="38"/>
        <v>3.1614077939380483</v>
      </c>
      <c r="AH95" s="77">
        <f t="shared" si="38"/>
        <v>2.0957313602731928</v>
      </c>
      <c r="AI95" s="77">
        <f t="shared" si="38"/>
        <v>3.9618672271851461</v>
      </c>
      <c r="AJ95" s="77">
        <f t="shared" si="38"/>
        <v>2.4028608346745859</v>
      </c>
      <c r="AK95" s="77">
        <f t="shared" si="38"/>
        <v>0</v>
      </c>
      <c r="AL95" s="7"/>
      <c r="AM95" s="232">
        <v>4.0227318544545669</v>
      </c>
    </row>
    <row r="96" spans="1:246" x14ac:dyDescent="0.2">
      <c r="A96" s="3" t="s">
        <v>62</v>
      </c>
      <c r="B96" s="77">
        <f t="shared" ref="B96:AK96" si="39">B48/(B$9/1000)</f>
        <v>0</v>
      </c>
      <c r="C96" s="77">
        <f t="shared" si="39"/>
        <v>0</v>
      </c>
      <c r="D96" s="77">
        <f t="shared" si="39"/>
        <v>0</v>
      </c>
      <c r="E96" s="77">
        <f t="shared" si="39"/>
        <v>0</v>
      </c>
      <c r="F96" s="77">
        <f t="shared" si="39"/>
        <v>0</v>
      </c>
      <c r="G96" s="77">
        <f t="shared" si="39"/>
        <v>0</v>
      </c>
      <c r="H96" s="77">
        <f t="shared" si="39"/>
        <v>0</v>
      </c>
      <c r="I96" s="77">
        <f t="shared" si="39"/>
        <v>0</v>
      </c>
      <c r="J96" s="77">
        <f t="shared" si="39"/>
        <v>0</v>
      </c>
      <c r="K96" s="77">
        <f t="shared" si="39"/>
        <v>0</v>
      </c>
      <c r="L96" s="77">
        <f t="shared" si="39"/>
        <v>1.125</v>
      </c>
      <c r="M96" s="77">
        <f t="shared" si="39"/>
        <v>0</v>
      </c>
      <c r="N96" s="77">
        <f t="shared" si="39"/>
        <v>0</v>
      </c>
      <c r="O96" s="77">
        <f t="shared" si="39"/>
        <v>0</v>
      </c>
      <c r="P96" s="77">
        <f t="shared" si="39"/>
        <v>0</v>
      </c>
      <c r="Q96" s="77">
        <f t="shared" si="39"/>
        <v>0</v>
      </c>
      <c r="R96" s="77">
        <f t="shared" si="39"/>
        <v>0</v>
      </c>
      <c r="S96" s="77">
        <f t="shared" si="39"/>
        <v>0</v>
      </c>
      <c r="T96" s="77">
        <f t="shared" si="39"/>
        <v>0</v>
      </c>
      <c r="U96" s="77">
        <f t="shared" si="39"/>
        <v>0</v>
      </c>
      <c r="V96" s="77">
        <f t="shared" si="39"/>
        <v>0</v>
      </c>
      <c r="W96" s="77">
        <f t="shared" si="39"/>
        <v>0</v>
      </c>
      <c r="X96" s="77">
        <f t="shared" si="39"/>
        <v>0</v>
      </c>
      <c r="Y96" s="77">
        <f t="shared" si="39"/>
        <v>0</v>
      </c>
      <c r="Z96" s="77">
        <f t="shared" si="39"/>
        <v>0</v>
      </c>
      <c r="AA96" s="77">
        <f t="shared" si="39"/>
        <v>0</v>
      </c>
      <c r="AB96" s="77">
        <f t="shared" si="39"/>
        <v>0</v>
      </c>
      <c r="AC96" s="77">
        <f t="shared" si="39"/>
        <v>0</v>
      </c>
      <c r="AD96" s="77">
        <f t="shared" si="39"/>
        <v>0</v>
      </c>
      <c r="AE96" s="77">
        <f t="shared" si="39"/>
        <v>0</v>
      </c>
      <c r="AF96" s="77">
        <f t="shared" si="39"/>
        <v>0</v>
      </c>
      <c r="AG96" s="77">
        <f t="shared" si="39"/>
        <v>0</v>
      </c>
      <c r="AH96" s="77">
        <f t="shared" si="39"/>
        <v>0</v>
      </c>
      <c r="AI96" s="77">
        <f t="shared" si="39"/>
        <v>0</v>
      </c>
      <c r="AJ96" s="77">
        <f t="shared" si="39"/>
        <v>0</v>
      </c>
      <c r="AK96" s="77">
        <f t="shared" si="39"/>
        <v>0</v>
      </c>
      <c r="AL96" s="7"/>
      <c r="AM96" s="232">
        <v>1.125</v>
      </c>
    </row>
    <row r="97" spans="1:246" x14ac:dyDescent="0.2">
      <c r="A97" s="3" t="s">
        <v>63</v>
      </c>
      <c r="B97" s="77">
        <f t="shared" ref="B97:AK97" si="40">B49/(B$9/1000)</f>
        <v>0.12029047619047618</v>
      </c>
      <c r="C97" s="77">
        <f t="shared" si="40"/>
        <v>8.3483602159195466E-2</v>
      </c>
      <c r="D97" s="77">
        <f t="shared" si="40"/>
        <v>7.3700660051580186E-2</v>
      </c>
      <c r="E97" s="77">
        <f t="shared" si="40"/>
        <v>5.6899999999999999E-2</v>
      </c>
      <c r="F97" s="77">
        <f t="shared" si="40"/>
        <v>3.2767999999999999E-2</v>
      </c>
      <c r="G97" s="77">
        <f t="shared" si="40"/>
        <v>0.27200000000000002</v>
      </c>
      <c r="H97" s="77">
        <f t="shared" si="40"/>
        <v>0.22999060836898674</v>
      </c>
      <c r="I97" s="77">
        <f t="shared" si="40"/>
        <v>8.9062624650977265E-2</v>
      </c>
      <c r="J97" s="77">
        <f t="shared" si="40"/>
        <v>0.12683739960600091</v>
      </c>
      <c r="K97" s="77">
        <f t="shared" si="40"/>
        <v>0</v>
      </c>
      <c r="L97" s="77">
        <f t="shared" si="40"/>
        <v>0.16615199999999999</v>
      </c>
      <c r="M97" s="77">
        <f t="shared" si="40"/>
        <v>0.37852053374789479</v>
      </c>
      <c r="N97" s="77">
        <f t="shared" si="40"/>
        <v>0</v>
      </c>
      <c r="O97" s="77">
        <f t="shared" si="40"/>
        <v>0</v>
      </c>
      <c r="P97" s="77">
        <f t="shared" si="40"/>
        <v>0</v>
      </c>
      <c r="Q97" s="77">
        <f t="shared" si="40"/>
        <v>0.2598082573063244</v>
      </c>
      <c r="R97" s="77">
        <f t="shared" si="40"/>
        <v>0.18535542189863177</v>
      </c>
      <c r="S97" s="77">
        <f t="shared" si="40"/>
        <v>0.12460081955630917</v>
      </c>
      <c r="T97" s="77">
        <f t="shared" si="40"/>
        <v>0.20637792321480677</v>
      </c>
      <c r="U97" s="77">
        <f t="shared" si="40"/>
        <v>0</v>
      </c>
      <c r="V97" s="77">
        <f t="shared" si="40"/>
        <v>0.15195576378295925</v>
      </c>
      <c r="W97" s="77">
        <f t="shared" si="40"/>
        <v>0.15195974576271187</v>
      </c>
      <c r="X97" s="77">
        <f t="shared" si="40"/>
        <v>0.22738379632789571</v>
      </c>
      <c r="Y97" s="77">
        <f t="shared" si="40"/>
        <v>0.10715610541548622</v>
      </c>
      <c r="Z97" s="77">
        <f t="shared" si="40"/>
        <v>0.34999825850719235</v>
      </c>
      <c r="AA97" s="77">
        <f t="shared" si="40"/>
        <v>0.24999828113719963</v>
      </c>
      <c r="AB97" s="77">
        <f t="shared" si="40"/>
        <v>0</v>
      </c>
      <c r="AC97" s="77">
        <f t="shared" si="40"/>
        <v>0</v>
      </c>
      <c r="AD97" s="77">
        <f t="shared" si="40"/>
        <v>0</v>
      </c>
      <c r="AE97" s="77">
        <f t="shared" si="40"/>
        <v>0.75000743494423794</v>
      </c>
      <c r="AF97" s="77">
        <f t="shared" si="40"/>
        <v>0.13830337481435961</v>
      </c>
      <c r="AG97" s="77">
        <f t="shared" si="40"/>
        <v>0.15037193294104587</v>
      </c>
      <c r="AH97" s="77">
        <f t="shared" si="40"/>
        <v>0.20780370581167393</v>
      </c>
      <c r="AI97" s="77">
        <f t="shared" si="40"/>
        <v>0</v>
      </c>
      <c r="AJ97" s="77">
        <f t="shared" si="40"/>
        <v>0.13069163285199376</v>
      </c>
      <c r="AK97" s="77">
        <f t="shared" si="40"/>
        <v>0</v>
      </c>
      <c r="AL97" s="7"/>
      <c r="AM97" s="232">
        <v>0.1264719323079497</v>
      </c>
    </row>
    <row r="98" spans="1:246" ht="13.5" thickBot="1" x14ac:dyDescent="0.25">
      <c r="A98" s="3" t="s">
        <v>22</v>
      </c>
      <c r="B98" s="77">
        <f t="shared" ref="B98:AK98" si="41">B50/(B$9/1000)</f>
        <v>9.9206349206349201E-2</v>
      </c>
      <c r="C98" s="77">
        <f t="shared" si="41"/>
        <v>0.15543978952706386</v>
      </c>
      <c r="D98" s="77">
        <f t="shared" si="41"/>
        <v>6.8300039340822655E-2</v>
      </c>
      <c r="E98" s="77">
        <f t="shared" si="41"/>
        <v>0.3</v>
      </c>
      <c r="F98" s="77">
        <f t="shared" si="41"/>
        <v>0.24</v>
      </c>
      <c r="G98" s="77">
        <f t="shared" si="41"/>
        <v>0</v>
      </c>
      <c r="H98" s="77">
        <f t="shared" si="41"/>
        <v>0</v>
      </c>
      <c r="I98" s="77">
        <f t="shared" si="41"/>
        <v>0.1495811727163941</v>
      </c>
      <c r="J98" s="77">
        <f t="shared" si="41"/>
        <v>0.15153811183512653</v>
      </c>
      <c r="K98" s="77">
        <f t="shared" si="41"/>
        <v>0</v>
      </c>
      <c r="L98" s="77">
        <f t="shared" si="41"/>
        <v>0.83</v>
      </c>
      <c r="M98" s="77">
        <f t="shared" si="41"/>
        <v>1.6841559787537246</v>
      </c>
      <c r="N98" s="77">
        <f t="shared" si="41"/>
        <v>0</v>
      </c>
      <c r="O98" s="77">
        <f t="shared" si="41"/>
        <v>0</v>
      </c>
      <c r="P98" s="77">
        <f t="shared" si="41"/>
        <v>6.5645514223194752</v>
      </c>
      <c r="Q98" s="77">
        <f t="shared" si="41"/>
        <v>0.16</v>
      </c>
      <c r="R98" s="77">
        <f t="shared" si="41"/>
        <v>0.16</v>
      </c>
      <c r="S98" s="77">
        <f t="shared" si="41"/>
        <v>0.18147802741274552</v>
      </c>
      <c r="T98" s="77">
        <f t="shared" si="41"/>
        <v>0.20842886322897994</v>
      </c>
      <c r="U98" s="77">
        <f t="shared" si="41"/>
        <v>4.698967658682152</v>
      </c>
      <c r="V98" s="77">
        <f t="shared" si="41"/>
        <v>0.6</v>
      </c>
      <c r="W98" s="77">
        <f t="shared" si="41"/>
        <v>0.6</v>
      </c>
      <c r="X98" s="77">
        <f t="shared" si="41"/>
        <v>0.20476417991945942</v>
      </c>
      <c r="Y98" s="77">
        <f t="shared" si="41"/>
        <v>0.24458349469049998</v>
      </c>
      <c r="Z98" s="77">
        <f t="shared" si="41"/>
        <v>0</v>
      </c>
      <c r="AA98" s="77">
        <f t="shared" si="41"/>
        <v>0</v>
      </c>
      <c r="AB98" s="77">
        <f t="shared" si="41"/>
        <v>0</v>
      </c>
      <c r="AC98" s="77">
        <f t="shared" si="41"/>
        <v>0</v>
      </c>
      <c r="AD98" s="77">
        <f t="shared" si="41"/>
        <v>0.26904864399483425</v>
      </c>
      <c r="AE98" s="77">
        <f t="shared" si="41"/>
        <v>0</v>
      </c>
      <c r="AF98" s="77">
        <f t="shared" si="41"/>
        <v>0.10882368003277514</v>
      </c>
      <c r="AG98" s="77">
        <f t="shared" si="41"/>
        <v>0.18504126420191702</v>
      </c>
      <c r="AH98" s="77">
        <f t="shared" si="41"/>
        <v>0.31619553531904132</v>
      </c>
      <c r="AI98" s="77">
        <f t="shared" si="41"/>
        <v>0.3</v>
      </c>
      <c r="AJ98" s="77">
        <f t="shared" si="41"/>
        <v>0.1360143268424274</v>
      </c>
      <c r="AK98" s="77">
        <f t="shared" si="41"/>
        <v>0</v>
      </c>
      <c r="AL98" s="7"/>
      <c r="AM98" s="232">
        <v>0.21847442783065912</v>
      </c>
    </row>
    <row r="99" spans="1:246" s="43" customFormat="1" ht="13.5" thickBot="1" x14ac:dyDescent="0.25">
      <c r="A99" s="83" t="s">
        <v>42</v>
      </c>
      <c r="B99" s="84">
        <f t="shared" ref="B99:AK99" si="42">B51/(B$9/1000)</f>
        <v>3.6781634920634922</v>
      </c>
      <c r="C99" s="84">
        <f t="shared" si="42"/>
        <v>5.0437581660293427</v>
      </c>
      <c r="D99" s="84">
        <f t="shared" si="42"/>
        <v>3.5472188223980416</v>
      </c>
      <c r="E99" s="84">
        <f t="shared" si="42"/>
        <v>1.3569</v>
      </c>
      <c r="F99" s="84">
        <f t="shared" si="42"/>
        <v>1.2727679999999999</v>
      </c>
      <c r="G99" s="84">
        <f t="shared" si="42"/>
        <v>0.27200000000000002</v>
      </c>
      <c r="H99" s="84">
        <f t="shared" si="42"/>
        <v>8.8899926953981012</v>
      </c>
      <c r="I99" s="84">
        <f t="shared" si="42"/>
        <v>5.2988591942560825</v>
      </c>
      <c r="J99" s="84">
        <f t="shared" si="42"/>
        <v>2.6245340203061072</v>
      </c>
      <c r="K99" s="84">
        <f t="shared" si="42"/>
        <v>1.7558050785263466</v>
      </c>
      <c r="L99" s="84">
        <f t="shared" si="42"/>
        <v>12.121152</v>
      </c>
      <c r="M99" s="84">
        <f t="shared" si="42"/>
        <v>7.88682471822775</v>
      </c>
      <c r="N99" s="84">
        <f t="shared" si="42"/>
        <v>0</v>
      </c>
      <c r="O99" s="84">
        <f t="shared" si="42"/>
        <v>0</v>
      </c>
      <c r="P99" s="84">
        <f t="shared" si="42"/>
        <v>14.336980306345733</v>
      </c>
      <c r="Q99" s="84">
        <f t="shared" si="42"/>
        <v>2.4340497912478738</v>
      </c>
      <c r="R99" s="84">
        <f t="shared" si="42"/>
        <v>3.5518342654145125</v>
      </c>
      <c r="S99" s="84">
        <f t="shared" si="42"/>
        <v>2.9281503461918894</v>
      </c>
      <c r="T99" s="84">
        <f t="shared" si="42"/>
        <v>3.542648713993914</v>
      </c>
      <c r="U99" s="84">
        <f t="shared" si="42"/>
        <v>4.698967658682152</v>
      </c>
      <c r="V99" s="84">
        <f t="shared" si="42"/>
        <v>4.4497276095009806</v>
      </c>
      <c r="W99" s="84">
        <f t="shared" si="42"/>
        <v>4.4694461259079903</v>
      </c>
      <c r="X99" s="84">
        <f t="shared" si="42"/>
        <v>3.9203740359019861</v>
      </c>
      <c r="Y99" s="84">
        <f t="shared" si="42"/>
        <v>3.3724476693231153</v>
      </c>
      <c r="Z99" s="84">
        <f t="shared" si="42"/>
        <v>4.2549127512103375</v>
      </c>
      <c r="AA99" s="84">
        <f t="shared" si="42"/>
        <v>3.6489325862009694</v>
      </c>
      <c r="AB99" s="84">
        <f t="shared" si="42"/>
        <v>0</v>
      </c>
      <c r="AC99" s="84">
        <f t="shared" si="42"/>
        <v>0</v>
      </c>
      <c r="AD99" s="84">
        <f t="shared" si="42"/>
        <v>3.252496771416272</v>
      </c>
      <c r="AE99" s="84">
        <f t="shared" si="42"/>
        <v>23.210869888475838</v>
      </c>
      <c r="AF99" s="84">
        <f t="shared" si="42"/>
        <v>3.6644863522302451</v>
      </c>
      <c r="AG99" s="84">
        <f t="shared" si="42"/>
        <v>3.8298878649938937</v>
      </c>
      <c r="AH99" s="84">
        <f t="shared" si="42"/>
        <v>2.8726870296591414</v>
      </c>
      <c r="AI99" s="84">
        <f t="shared" si="42"/>
        <v>4.5118759852863901</v>
      </c>
      <c r="AJ99" s="84">
        <f t="shared" si="42"/>
        <v>2.6695667943690067</v>
      </c>
      <c r="AK99" s="84">
        <f t="shared" si="42"/>
        <v>0</v>
      </c>
      <c r="AL99" s="87"/>
      <c r="AM99" s="234">
        <v>4.4394747144638647</v>
      </c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  <c r="FF99" s="22"/>
      <c r="FG99" s="22"/>
      <c r="FH99" s="22"/>
      <c r="FI99" s="22"/>
      <c r="FJ99" s="22"/>
      <c r="FK99" s="22"/>
      <c r="FL99" s="22"/>
      <c r="FM99" s="22"/>
      <c r="FN99" s="22"/>
      <c r="FO99" s="22"/>
      <c r="FP99" s="22"/>
      <c r="FQ99" s="22"/>
      <c r="FR99" s="22"/>
      <c r="FS99" s="22"/>
      <c r="FT99" s="22"/>
      <c r="FU99" s="22"/>
      <c r="FV99" s="22"/>
      <c r="FW99" s="22"/>
      <c r="FX99" s="22"/>
      <c r="FY99" s="22"/>
      <c r="FZ99" s="22"/>
      <c r="GA99" s="22"/>
      <c r="GB99" s="22"/>
      <c r="GC99" s="22"/>
      <c r="GD99" s="22"/>
      <c r="GE99" s="22"/>
      <c r="GF99" s="22"/>
      <c r="GG99" s="22"/>
      <c r="GH99" s="22"/>
      <c r="GI99" s="22"/>
      <c r="GJ99" s="22"/>
      <c r="GK99" s="22"/>
      <c r="GL99" s="22"/>
      <c r="GM99" s="22"/>
      <c r="GN99" s="22"/>
      <c r="GO99" s="22"/>
      <c r="GP99" s="22"/>
      <c r="GQ99" s="22"/>
      <c r="GR99" s="22"/>
      <c r="GS99" s="22"/>
      <c r="GT99" s="22"/>
      <c r="GU99" s="22"/>
      <c r="GV99" s="22"/>
      <c r="GW99" s="22"/>
      <c r="GX99" s="22"/>
      <c r="GY99" s="22"/>
      <c r="GZ99" s="22"/>
      <c r="HA99" s="22"/>
      <c r="HB99" s="22"/>
      <c r="HC99" s="22"/>
      <c r="HD99" s="22"/>
      <c r="HE99" s="22"/>
      <c r="HF99" s="22"/>
      <c r="HG99" s="22"/>
      <c r="HH99" s="22"/>
      <c r="HI99" s="22"/>
      <c r="HJ99" s="22"/>
      <c r="HK99" s="22"/>
      <c r="HL99" s="22"/>
      <c r="HM99" s="22"/>
      <c r="HN99" s="22"/>
      <c r="HO99" s="22"/>
      <c r="HP99" s="22"/>
      <c r="HQ99" s="22"/>
      <c r="HR99" s="22"/>
      <c r="HS99" s="22"/>
      <c r="HT99" s="22"/>
      <c r="HU99" s="22"/>
      <c r="HV99" s="22"/>
      <c r="HW99" s="22"/>
      <c r="HX99" s="22"/>
      <c r="HY99" s="22"/>
      <c r="HZ99" s="22"/>
      <c r="IA99" s="22"/>
      <c r="IB99" s="22"/>
      <c r="IC99" s="22"/>
      <c r="ID99" s="22"/>
      <c r="IE99" s="22"/>
      <c r="IF99" s="22"/>
      <c r="IG99" s="22"/>
      <c r="IH99" s="22"/>
      <c r="II99" s="22"/>
      <c r="IJ99" s="22"/>
      <c r="IK99" s="22"/>
      <c r="IL99" s="22"/>
    </row>
    <row r="100" spans="1:246" ht="13.5" thickBot="1" x14ac:dyDescent="0.25">
      <c r="A100" s="17" t="s">
        <v>32</v>
      </c>
      <c r="B100" s="84">
        <f t="shared" ref="B100:AK100" si="43">B52/(B$9/1000)</f>
        <v>0</v>
      </c>
      <c r="C100" s="84">
        <f t="shared" si="43"/>
        <v>0</v>
      </c>
      <c r="D100" s="84">
        <f t="shared" si="43"/>
        <v>0</v>
      </c>
      <c r="E100" s="84">
        <f t="shared" si="43"/>
        <v>0</v>
      </c>
      <c r="F100" s="84">
        <f t="shared" si="43"/>
        <v>0</v>
      </c>
      <c r="G100" s="84">
        <f t="shared" si="43"/>
        <v>0</v>
      </c>
      <c r="H100" s="84">
        <f t="shared" si="43"/>
        <v>0</v>
      </c>
      <c r="I100" s="84">
        <f t="shared" si="43"/>
        <v>0</v>
      </c>
      <c r="J100" s="84">
        <f t="shared" si="43"/>
        <v>0</v>
      </c>
      <c r="K100" s="84">
        <f t="shared" si="43"/>
        <v>0</v>
      </c>
      <c r="L100" s="84">
        <f t="shared" si="43"/>
        <v>0</v>
      </c>
      <c r="M100" s="84">
        <f t="shared" si="43"/>
        <v>0</v>
      </c>
      <c r="N100" s="84">
        <f t="shared" si="43"/>
        <v>3.5568202027387517</v>
      </c>
      <c r="O100" s="84">
        <f t="shared" si="43"/>
        <v>0</v>
      </c>
      <c r="P100" s="84">
        <f t="shared" si="43"/>
        <v>0</v>
      </c>
      <c r="Q100" s="84">
        <f t="shared" si="43"/>
        <v>0</v>
      </c>
      <c r="R100" s="84">
        <f t="shared" si="43"/>
        <v>0</v>
      </c>
      <c r="S100" s="84">
        <f t="shared" si="43"/>
        <v>0</v>
      </c>
      <c r="T100" s="84">
        <f t="shared" si="43"/>
        <v>0</v>
      </c>
      <c r="U100" s="84">
        <f t="shared" si="43"/>
        <v>0</v>
      </c>
      <c r="V100" s="84">
        <f t="shared" si="43"/>
        <v>0</v>
      </c>
      <c r="W100" s="84">
        <f t="shared" si="43"/>
        <v>0</v>
      </c>
      <c r="X100" s="84">
        <f t="shared" si="43"/>
        <v>0</v>
      </c>
      <c r="Y100" s="84">
        <f t="shared" si="43"/>
        <v>0</v>
      </c>
      <c r="Z100" s="84">
        <f t="shared" si="43"/>
        <v>0</v>
      </c>
      <c r="AA100" s="84">
        <f t="shared" si="43"/>
        <v>0</v>
      </c>
      <c r="AB100" s="84">
        <f t="shared" si="43"/>
        <v>0.65333856004181368</v>
      </c>
      <c r="AC100" s="84">
        <f t="shared" si="43"/>
        <v>0.61970667217517039</v>
      </c>
      <c r="AD100" s="84">
        <f t="shared" si="43"/>
        <v>0</v>
      </c>
      <c r="AE100" s="84">
        <f t="shared" si="43"/>
        <v>0</v>
      </c>
      <c r="AF100" s="84">
        <f t="shared" si="43"/>
        <v>0</v>
      </c>
      <c r="AG100" s="84">
        <f t="shared" si="43"/>
        <v>0</v>
      </c>
      <c r="AH100" s="84">
        <f t="shared" si="43"/>
        <v>0</v>
      </c>
      <c r="AI100" s="84">
        <f t="shared" si="43"/>
        <v>0</v>
      </c>
      <c r="AJ100" s="84">
        <f t="shared" si="43"/>
        <v>0</v>
      </c>
      <c r="AK100" s="84">
        <f t="shared" si="43"/>
        <v>0.98514402805690193</v>
      </c>
      <c r="AL100" s="90"/>
      <c r="AM100" s="234">
        <v>0.84979817293392812</v>
      </c>
    </row>
    <row r="101" spans="1:246" s="47" customFormat="1" ht="13.5" thickBot="1" x14ac:dyDescent="0.25">
      <c r="A101" s="83" t="s">
        <v>43</v>
      </c>
      <c r="B101" s="84">
        <f t="shared" ref="B101:AK101" si="44">B53/(B$9/1000)</f>
        <v>0</v>
      </c>
      <c r="C101" s="84">
        <f t="shared" si="44"/>
        <v>0</v>
      </c>
      <c r="D101" s="84">
        <f t="shared" si="44"/>
        <v>0</v>
      </c>
      <c r="E101" s="84">
        <f t="shared" si="44"/>
        <v>0</v>
      </c>
      <c r="F101" s="84">
        <f t="shared" si="44"/>
        <v>0</v>
      </c>
      <c r="G101" s="84">
        <f t="shared" si="44"/>
        <v>0</v>
      </c>
      <c r="H101" s="84">
        <f t="shared" si="44"/>
        <v>0</v>
      </c>
      <c r="I101" s="84">
        <f t="shared" si="44"/>
        <v>0</v>
      </c>
      <c r="J101" s="84">
        <f t="shared" si="44"/>
        <v>0</v>
      </c>
      <c r="K101" s="84">
        <f t="shared" si="44"/>
        <v>0</v>
      </c>
      <c r="L101" s="84">
        <f t="shared" si="44"/>
        <v>0</v>
      </c>
      <c r="M101" s="84">
        <f t="shared" si="44"/>
        <v>0</v>
      </c>
      <c r="N101" s="84">
        <f t="shared" si="44"/>
        <v>9.5568202027387521</v>
      </c>
      <c r="O101" s="84">
        <f t="shared" si="44"/>
        <v>0.76086956521739135</v>
      </c>
      <c r="P101" s="84">
        <f t="shared" si="44"/>
        <v>0</v>
      </c>
      <c r="Q101" s="84">
        <f t="shared" si="44"/>
        <v>0</v>
      </c>
      <c r="R101" s="84">
        <f t="shared" si="44"/>
        <v>0</v>
      </c>
      <c r="S101" s="84">
        <f t="shared" si="44"/>
        <v>0</v>
      </c>
      <c r="T101" s="84">
        <f t="shared" si="44"/>
        <v>0</v>
      </c>
      <c r="U101" s="84">
        <f t="shared" si="44"/>
        <v>15</v>
      </c>
      <c r="V101" s="84">
        <f t="shared" si="44"/>
        <v>0</v>
      </c>
      <c r="W101" s="84">
        <f t="shared" si="44"/>
        <v>0</v>
      </c>
      <c r="X101" s="84">
        <f t="shared" si="44"/>
        <v>0</v>
      </c>
      <c r="Y101" s="84">
        <f t="shared" si="44"/>
        <v>0</v>
      </c>
      <c r="Z101" s="84">
        <f t="shared" si="44"/>
        <v>0</v>
      </c>
      <c r="AA101" s="84">
        <f t="shared" si="44"/>
        <v>0</v>
      </c>
      <c r="AB101" s="84">
        <f t="shared" si="44"/>
        <v>1.3066771200836274</v>
      </c>
      <c r="AC101" s="84">
        <f t="shared" si="44"/>
        <v>0.61970667217517039</v>
      </c>
      <c r="AD101" s="84">
        <f t="shared" si="44"/>
        <v>0</v>
      </c>
      <c r="AE101" s="84">
        <f t="shared" si="44"/>
        <v>0</v>
      </c>
      <c r="AF101" s="84">
        <f t="shared" si="44"/>
        <v>0</v>
      </c>
      <c r="AG101" s="84">
        <f t="shared" si="44"/>
        <v>0</v>
      </c>
      <c r="AH101" s="84">
        <f t="shared" si="44"/>
        <v>0</v>
      </c>
      <c r="AI101" s="84">
        <f t="shared" si="44"/>
        <v>0</v>
      </c>
      <c r="AJ101" s="84">
        <f t="shared" si="44"/>
        <v>0</v>
      </c>
      <c r="AK101" s="84">
        <f t="shared" si="44"/>
        <v>0.98514402805690193</v>
      </c>
      <c r="AL101" s="87"/>
      <c r="AM101" s="234">
        <v>3.6322642497263264</v>
      </c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  <c r="FF101" s="22"/>
      <c r="FG101" s="22"/>
      <c r="FH101" s="22"/>
      <c r="FI101" s="22"/>
      <c r="FJ101" s="22"/>
      <c r="FK101" s="22"/>
      <c r="FL101" s="22"/>
      <c r="FM101" s="22"/>
      <c r="FN101" s="22"/>
      <c r="FO101" s="22"/>
      <c r="FP101" s="22"/>
      <c r="FQ101" s="22"/>
      <c r="FR101" s="22"/>
      <c r="FS101" s="22"/>
      <c r="FT101" s="22"/>
      <c r="FU101" s="22"/>
      <c r="FV101" s="22"/>
      <c r="FW101" s="22"/>
      <c r="FX101" s="22"/>
      <c r="FY101" s="22"/>
      <c r="FZ101" s="22"/>
      <c r="GA101" s="22"/>
      <c r="GB101" s="22"/>
      <c r="GC101" s="22"/>
      <c r="GD101" s="22"/>
      <c r="GE101" s="22"/>
      <c r="GF101" s="22"/>
      <c r="GG101" s="22"/>
      <c r="GH101" s="22"/>
      <c r="GI101" s="22"/>
      <c r="GJ101" s="22"/>
      <c r="GK101" s="22"/>
      <c r="GL101" s="22"/>
      <c r="GM101" s="22"/>
      <c r="GN101" s="22"/>
      <c r="GO101" s="22"/>
      <c r="GP101" s="22"/>
      <c r="GQ101" s="22"/>
      <c r="GR101" s="22"/>
      <c r="GS101" s="22"/>
      <c r="GT101" s="22"/>
      <c r="GU101" s="22"/>
      <c r="GV101" s="22"/>
      <c r="GW101" s="22"/>
      <c r="GX101" s="22"/>
      <c r="GY101" s="22"/>
      <c r="GZ101" s="22"/>
      <c r="HA101" s="22"/>
      <c r="HB101" s="22"/>
      <c r="HC101" s="22"/>
      <c r="HD101" s="22"/>
      <c r="HE101" s="22"/>
      <c r="HF101" s="22"/>
      <c r="HG101" s="22"/>
      <c r="HH101" s="22"/>
      <c r="HI101" s="22"/>
      <c r="HJ101" s="22"/>
      <c r="HK101" s="22"/>
      <c r="HL101" s="22"/>
      <c r="HM101" s="22"/>
      <c r="HN101" s="22"/>
      <c r="HO101" s="22"/>
      <c r="HP101" s="22"/>
      <c r="HQ101" s="22"/>
      <c r="HR101" s="22"/>
      <c r="HS101" s="22"/>
      <c r="HT101" s="22"/>
      <c r="HU101" s="22"/>
      <c r="HV101" s="22"/>
      <c r="HW101" s="22"/>
      <c r="HX101" s="22"/>
      <c r="HY101" s="22"/>
      <c r="HZ101" s="22"/>
      <c r="IA101" s="22"/>
      <c r="IB101" s="22"/>
      <c r="IC101" s="22"/>
      <c r="ID101" s="22"/>
      <c r="IE101" s="22"/>
      <c r="IF101" s="22"/>
      <c r="IG101" s="22"/>
      <c r="IH101" s="22"/>
      <c r="II101" s="22"/>
      <c r="IJ101" s="22"/>
      <c r="IK101" s="22"/>
      <c r="IL101" s="22"/>
    </row>
    <row r="102" spans="1:246" ht="13.5" thickBot="1" x14ac:dyDescent="0.25">
      <c r="A102" s="101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8"/>
      <c r="AM102" s="79"/>
    </row>
    <row r="103" spans="1:246" ht="13.5" thickBot="1" x14ac:dyDescent="0.25">
      <c r="A103" s="83" t="s">
        <v>21</v>
      </c>
      <c r="B103" s="84">
        <f t="shared" ref="B103:AK103" si="45">B55/(B$9/1000)</f>
        <v>0</v>
      </c>
      <c r="C103" s="84">
        <f t="shared" si="45"/>
        <v>0</v>
      </c>
      <c r="D103" s="84">
        <f t="shared" si="45"/>
        <v>0</v>
      </c>
      <c r="E103" s="84">
        <f t="shared" si="45"/>
        <v>0</v>
      </c>
      <c r="F103" s="84">
        <f t="shared" si="45"/>
        <v>0</v>
      </c>
      <c r="G103" s="84">
        <f t="shared" si="45"/>
        <v>0</v>
      </c>
      <c r="H103" s="84">
        <f t="shared" si="45"/>
        <v>0</v>
      </c>
      <c r="I103" s="84">
        <f t="shared" si="45"/>
        <v>0</v>
      </c>
      <c r="J103" s="84">
        <f t="shared" si="45"/>
        <v>0</v>
      </c>
      <c r="K103" s="84">
        <f t="shared" si="45"/>
        <v>0</v>
      </c>
      <c r="L103" s="84">
        <f t="shared" si="45"/>
        <v>0</v>
      </c>
      <c r="M103" s="84">
        <f t="shared" si="45"/>
        <v>0</v>
      </c>
      <c r="N103" s="84">
        <f t="shared" si="45"/>
        <v>0</v>
      </c>
      <c r="O103" s="84">
        <f t="shared" si="45"/>
        <v>0</v>
      </c>
      <c r="P103" s="84">
        <f t="shared" si="45"/>
        <v>0</v>
      </c>
      <c r="Q103" s="84">
        <f t="shared" si="45"/>
        <v>0</v>
      </c>
      <c r="R103" s="84">
        <f t="shared" si="45"/>
        <v>0</v>
      </c>
      <c r="S103" s="84">
        <f t="shared" si="45"/>
        <v>0</v>
      </c>
      <c r="T103" s="84">
        <f t="shared" si="45"/>
        <v>0</v>
      </c>
      <c r="U103" s="84">
        <f t="shared" si="45"/>
        <v>0</v>
      </c>
      <c r="V103" s="84">
        <f t="shared" si="45"/>
        <v>0</v>
      </c>
      <c r="W103" s="84">
        <f t="shared" si="45"/>
        <v>0</v>
      </c>
      <c r="X103" s="84">
        <f t="shared" si="45"/>
        <v>0</v>
      </c>
      <c r="Y103" s="84">
        <f t="shared" si="45"/>
        <v>0</v>
      </c>
      <c r="Z103" s="84">
        <f t="shared" si="45"/>
        <v>0</v>
      </c>
      <c r="AA103" s="84">
        <f t="shared" si="45"/>
        <v>0</v>
      </c>
      <c r="AB103" s="84">
        <f t="shared" si="45"/>
        <v>0</v>
      </c>
      <c r="AC103" s="84">
        <f t="shared" si="45"/>
        <v>0</v>
      </c>
      <c r="AD103" s="84">
        <f t="shared" si="45"/>
        <v>0</v>
      </c>
      <c r="AE103" s="84">
        <f t="shared" si="45"/>
        <v>0</v>
      </c>
      <c r="AF103" s="84">
        <f t="shared" si="45"/>
        <v>0</v>
      </c>
      <c r="AG103" s="84">
        <f t="shared" si="45"/>
        <v>0</v>
      </c>
      <c r="AH103" s="84">
        <f t="shared" si="45"/>
        <v>0</v>
      </c>
      <c r="AI103" s="84">
        <f t="shared" si="45"/>
        <v>0</v>
      </c>
      <c r="AJ103" s="84">
        <f t="shared" si="45"/>
        <v>0</v>
      </c>
      <c r="AK103" s="84">
        <f t="shared" si="45"/>
        <v>0</v>
      </c>
      <c r="AL103" s="102"/>
      <c r="AM103" s="234">
        <v>0</v>
      </c>
    </row>
    <row r="104" spans="1:246" ht="13.5" thickBot="1" x14ac:dyDescent="0.25">
      <c r="A104" s="25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8"/>
      <c r="AM104" s="79"/>
    </row>
    <row r="105" spans="1:246" s="43" customFormat="1" x14ac:dyDescent="0.2">
      <c r="A105" s="62" t="s">
        <v>46</v>
      </c>
      <c r="B105" s="88">
        <f t="shared" ref="B105:AK105" si="46">B57/(B$9/1000)</f>
        <v>4.2716230158730157</v>
      </c>
      <c r="C105" s="88">
        <f t="shared" si="46"/>
        <v>7.2406278822422969</v>
      </c>
      <c r="D105" s="88">
        <f t="shared" si="46"/>
        <v>4.0974657953402982</v>
      </c>
      <c r="E105" s="88">
        <f t="shared" si="46"/>
        <v>3.1686000000000001</v>
      </c>
      <c r="F105" s="88">
        <f t="shared" si="46"/>
        <v>3.031552</v>
      </c>
      <c r="G105" s="88">
        <f t="shared" si="46"/>
        <v>1.9770319999999999</v>
      </c>
      <c r="H105" s="88">
        <f t="shared" si="46"/>
        <v>13.420327663570907</v>
      </c>
      <c r="I105" s="88">
        <f t="shared" si="46"/>
        <v>6.4523813322696446</v>
      </c>
      <c r="J105" s="88">
        <f t="shared" si="46"/>
        <v>3.8214123352023033</v>
      </c>
      <c r="K105" s="88">
        <f t="shared" si="46"/>
        <v>4.0811683546161746</v>
      </c>
      <c r="L105" s="88">
        <f t="shared" si="46"/>
        <v>14.269154</v>
      </c>
      <c r="M105" s="88">
        <f t="shared" si="46"/>
        <v>18.898872910998833</v>
      </c>
      <c r="N105" s="88">
        <f t="shared" si="46"/>
        <v>19.571225324559844</v>
      </c>
      <c r="O105" s="88">
        <f t="shared" si="46"/>
        <v>14.298913043478262</v>
      </c>
      <c r="P105" s="88">
        <f t="shared" si="46"/>
        <v>44.5218818380744</v>
      </c>
      <c r="Q105" s="88">
        <f t="shared" si="46"/>
        <v>4.2576310499458794</v>
      </c>
      <c r="R105" s="88">
        <f t="shared" si="46"/>
        <v>5.2350603214800744</v>
      </c>
      <c r="S105" s="88">
        <f t="shared" si="46"/>
        <v>4.8687579482831707</v>
      </c>
      <c r="T105" s="88">
        <f t="shared" si="46"/>
        <v>6.9601067155779734</v>
      </c>
      <c r="U105" s="88">
        <f t="shared" si="46"/>
        <v>32.383095410920234</v>
      </c>
      <c r="V105" s="88">
        <f t="shared" si="46"/>
        <v>6.443424493353672</v>
      </c>
      <c r="W105" s="88">
        <f t="shared" si="46"/>
        <v>6.4750529661016953</v>
      </c>
      <c r="X105" s="88">
        <f t="shared" si="46"/>
        <v>6.6898368712033305</v>
      </c>
      <c r="Y105" s="88">
        <f t="shared" si="46"/>
        <v>5.7453641236777209</v>
      </c>
      <c r="Z105" s="88">
        <f t="shared" si="46"/>
        <v>6.1357389153982798</v>
      </c>
      <c r="AA105" s="88">
        <f t="shared" si="46"/>
        <v>5.5396816666093711</v>
      </c>
      <c r="AB105" s="88">
        <f t="shared" si="46"/>
        <v>3.4973213119038284</v>
      </c>
      <c r="AC105" s="88">
        <f t="shared" si="46"/>
        <v>2.1797562487089444</v>
      </c>
      <c r="AD105" s="88">
        <f t="shared" si="46"/>
        <v>6.380779164873009</v>
      </c>
      <c r="AE105" s="88">
        <f t="shared" si="46"/>
        <v>26.29207434944238</v>
      </c>
      <c r="AF105" s="88">
        <f t="shared" si="46"/>
        <v>4.5344753418343835</v>
      </c>
      <c r="AG105" s="88">
        <f t="shared" si="46"/>
        <v>6.1667887939010395</v>
      </c>
      <c r="AH105" s="88">
        <f t="shared" si="46"/>
        <v>6.7954973755770567</v>
      </c>
      <c r="AI105" s="88">
        <f t="shared" si="46"/>
        <v>8.7958836924154848</v>
      </c>
      <c r="AJ105" s="88">
        <f t="shared" si="46"/>
        <v>3.8997710425498151</v>
      </c>
      <c r="AK105" s="88">
        <f t="shared" si="46"/>
        <v>13.446152027426409</v>
      </c>
      <c r="AL105" s="90"/>
      <c r="AM105" s="89">
        <v>6.0613573428896164</v>
      </c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22"/>
      <c r="CU105" s="22"/>
      <c r="CV105" s="22"/>
      <c r="CW105" s="22"/>
      <c r="CX105" s="22"/>
      <c r="CY105" s="22"/>
      <c r="CZ105" s="22"/>
      <c r="DA105" s="22"/>
      <c r="DB105" s="22"/>
      <c r="DC105" s="22"/>
      <c r="DD105" s="22"/>
      <c r="DE105" s="22"/>
      <c r="DF105" s="22"/>
      <c r="DG105" s="22"/>
      <c r="DH105" s="22"/>
      <c r="DI105" s="22"/>
      <c r="DJ105" s="22"/>
      <c r="DK105" s="22"/>
      <c r="DL105" s="22"/>
      <c r="DM105" s="22"/>
      <c r="DN105" s="22"/>
      <c r="DO105" s="22"/>
      <c r="DP105" s="22"/>
      <c r="DQ105" s="22"/>
      <c r="DR105" s="22"/>
      <c r="DS105" s="22"/>
      <c r="DT105" s="22"/>
      <c r="DU105" s="22"/>
      <c r="DV105" s="22"/>
      <c r="DW105" s="22"/>
      <c r="DX105" s="22"/>
      <c r="DY105" s="22"/>
      <c r="DZ105" s="22"/>
      <c r="EA105" s="22"/>
      <c r="EB105" s="22"/>
      <c r="EC105" s="22"/>
      <c r="ED105" s="22"/>
      <c r="EE105" s="22"/>
      <c r="EF105" s="22"/>
      <c r="EG105" s="22"/>
      <c r="EH105" s="22"/>
      <c r="EI105" s="22"/>
      <c r="EJ105" s="22"/>
      <c r="EK105" s="22"/>
      <c r="EL105" s="22"/>
      <c r="EM105" s="22"/>
      <c r="EN105" s="22"/>
      <c r="EO105" s="22"/>
      <c r="EP105" s="22"/>
      <c r="EQ105" s="22"/>
      <c r="ER105" s="22"/>
      <c r="ES105" s="22"/>
      <c r="ET105" s="22"/>
      <c r="EU105" s="22"/>
      <c r="EV105" s="22"/>
      <c r="EW105" s="22"/>
      <c r="EX105" s="22"/>
      <c r="EY105" s="22"/>
      <c r="EZ105" s="22"/>
      <c r="FA105" s="22"/>
      <c r="FB105" s="22"/>
      <c r="FC105" s="22"/>
      <c r="FD105" s="22"/>
      <c r="FE105" s="22"/>
      <c r="FF105" s="22"/>
      <c r="FG105" s="22"/>
      <c r="FH105" s="22"/>
      <c r="FI105" s="22"/>
      <c r="FJ105" s="22"/>
      <c r="FK105" s="22"/>
      <c r="FL105" s="22"/>
      <c r="FM105" s="22"/>
      <c r="FN105" s="22"/>
      <c r="FO105" s="22"/>
      <c r="FP105" s="22"/>
      <c r="FQ105" s="22"/>
      <c r="FR105" s="22"/>
      <c r="FS105" s="22"/>
      <c r="FT105" s="22"/>
      <c r="FU105" s="22"/>
      <c r="FV105" s="22"/>
      <c r="FW105" s="22"/>
      <c r="FX105" s="22"/>
      <c r="FY105" s="22"/>
      <c r="FZ105" s="22"/>
      <c r="GA105" s="22"/>
      <c r="GB105" s="22"/>
      <c r="GC105" s="22"/>
      <c r="GD105" s="22"/>
      <c r="GE105" s="22"/>
      <c r="GF105" s="22"/>
      <c r="GG105" s="22"/>
      <c r="GH105" s="22"/>
      <c r="GI105" s="22"/>
      <c r="GJ105" s="22"/>
      <c r="GK105" s="22"/>
      <c r="GL105" s="22"/>
      <c r="GM105" s="22"/>
      <c r="GN105" s="22"/>
      <c r="GO105" s="22"/>
      <c r="GP105" s="22"/>
      <c r="GQ105" s="22"/>
      <c r="GR105" s="22"/>
      <c r="GS105" s="22"/>
      <c r="GT105" s="22"/>
      <c r="GU105" s="22"/>
      <c r="GV105" s="22"/>
      <c r="GW105" s="22"/>
      <c r="GX105" s="22"/>
      <c r="GY105" s="22"/>
      <c r="GZ105" s="22"/>
      <c r="HA105" s="22"/>
      <c r="HB105" s="22"/>
      <c r="HC105" s="22"/>
      <c r="HD105" s="22"/>
      <c r="HE105" s="22"/>
      <c r="HF105" s="22"/>
      <c r="HG105" s="22"/>
      <c r="HH105" s="22"/>
      <c r="HI105" s="22"/>
      <c r="HJ105" s="22"/>
      <c r="HK105" s="22"/>
      <c r="HL105" s="22"/>
      <c r="HM105" s="22"/>
      <c r="HN105" s="22"/>
      <c r="HO105" s="22"/>
      <c r="HP105" s="22"/>
      <c r="HQ105" s="22"/>
      <c r="HR105" s="22"/>
      <c r="HS105" s="22"/>
      <c r="HT105" s="22"/>
      <c r="HU105" s="22"/>
      <c r="HV105" s="22"/>
      <c r="HW105" s="22"/>
      <c r="HX105" s="22"/>
      <c r="HY105" s="22"/>
      <c r="HZ105" s="22"/>
      <c r="IA105" s="22"/>
      <c r="IB105" s="22"/>
      <c r="IC105" s="22"/>
      <c r="ID105" s="22"/>
      <c r="IE105" s="22"/>
      <c r="IF105" s="22"/>
      <c r="IG105" s="22"/>
      <c r="IH105" s="22"/>
      <c r="II105" s="22"/>
      <c r="IJ105" s="22"/>
      <c r="IK105" s="22"/>
      <c r="IL105" s="22"/>
    </row>
    <row r="106" spans="1:246" s="47" customFormat="1" ht="13.5" thickBot="1" x14ac:dyDescent="0.25">
      <c r="A106" s="65" t="s">
        <v>44</v>
      </c>
      <c r="B106" s="80">
        <f t="shared" ref="B106:AK106" si="47">B58/(B$9/1000)</f>
        <v>4.2716230158730157</v>
      </c>
      <c r="C106" s="80">
        <f t="shared" si="47"/>
        <v>7.2406278822422969</v>
      </c>
      <c r="D106" s="80">
        <f t="shared" si="47"/>
        <v>4.0974657953402982</v>
      </c>
      <c r="E106" s="80">
        <f t="shared" si="47"/>
        <v>3.1686000000000001</v>
      </c>
      <c r="F106" s="80">
        <f t="shared" si="47"/>
        <v>3.031552</v>
      </c>
      <c r="G106" s="80">
        <f t="shared" si="47"/>
        <v>1.9770319999999999</v>
      </c>
      <c r="H106" s="80">
        <f t="shared" si="47"/>
        <v>13.420327663570907</v>
      </c>
      <c r="I106" s="80">
        <f t="shared" si="47"/>
        <v>6.4523813322696446</v>
      </c>
      <c r="J106" s="80">
        <f t="shared" si="47"/>
        <v>3.8214123352023033</v>
      </c>
      <c r="K106" s="80">
        <f t="shared" si="47"/>
        <v>4.0811683546161746</v>
      </c>
      <c r="L106" s="80">
        <f t="shared" si="47"/>
        <v>14.269154</v>
      </c>
      <c r="M106" s="80">
        <f t="shared" si="47"/>
        <v>18.898872910998833</v>
      </c>
      <c r="N106" s="80">
        <f t="shared" si="47"/>
        <v>19.571225324559844</v>
      </c>
      <c r="O106" s="80">
        <f t="shared" si="47"/>
        <v>14.298913043478262</v>
      </c>
      <c r="P106" s="80">
        <f t="shared" si="47"/>
        <v>44.5218818380744</v>
      </c>
      <c r="Q106" s="80">
        <f t="shared" si="47"/>
        <v>4.2576310499458794</v>
      </c>
      <c r="R106" s="80">
        <f t="shared" si="47"/>
        <v>5.2350603214800744</v>
      </c>
      <c r="S106" s="80">
        <f t="shared" si="47"/>
        <v>4.8687579482831707</v>
      </c>
      <c r="T106" s="80">
        <f t="shared" si="47"/>
        <v>6.9601067155779734</v>
      </c>
      <c r="U106" s="80">
        <f t="shared" si="47"/>
        <v>32.383095410920234</v>
      </c>
      <c r="V106" s="80">
        <f t="shared" si="47"/>
        <v>6.443424493353672</v>
      </c>
      <c r="W106" s="80">
        <f t="shared" si="47"/>
        <v>6.4750529661016953</v>
      </c>
      <c r="X106" s="80">
        <f t="shared" si="47"/>
        <v>6.6898368712033305</v>
      </c>
      <c r="Y106" s="80">
        <f t="shared" si="47"/>
        <v>5.7453641236777209</v>
      </c>
      <c r="Z106" s="80">
        <f t="shared" si="47"/>
        <v>6.1357389153982798</v>
      </c>
      <c r="AA106" s="80">
        <f t="shared" si="47"/>
        <v>5.5396816666093711</v>
      </c>
      <c r="AB106" s="80">
        <f t="shared" si="47"/>
        <v>3.4973213119038284</v>
      </c>
      <c r="AC106" s="80">
        <f t="shared" si="47"/>
        <v>2.1797562487089444</v>
      </c>
      <c r="AD106" s="80">
        <f t="shared" si="47"/>
        <v>6.380779164873009</v>
      </c>
      <c r="AE106" s="80">
        <f t="shared" si="47"/>
        <v>26.29207434944238</v>
      </c>
      <c r="AF106" s="80">
        <f t="shared" si="47"/>
        <v>4.5344753418343835</v>
      </c>
      <c r="AG106" s="80">
        <f t="shared" si="47"/>
        <v>6.1667887939010395</v>
      </c>
      <c r="AH106" s="80">
        <f t="shared" si="47"/>
        <v>6.7954973755770567</v>
      </c>
      <c r="AI106" s="80">
        <f t="shared" si="47"/>
        <v>8.7958836924154848</v>
      </c>
      <c r="AJ106" s="80">
        <f t="shared" si="47"/>
        <v>3.8997710425498151</v>
      </c>
      <c r="AK106" s="80">
        <f t="shared" si="47"/>
        <v>13.446152027426409</v>
      </c>
      <c r="AL106" s="81"/>
      <c r="AM106" s="233">
        <v>6.0613573428896164</v>
      </c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22"/>
      <c r="CU106" s="22"/>
      <c r="CV106" s="22"/>
      <c r="CW106" s="22"/>
      <c r="CX106" s="22"/>
      <c r="CY106" s="22"/>
      <c r="CZ106" s="22"/>
      <c r="DA106" s="22"/>
      <c r="DB106" s="22"/>
      <c r="DC106" s="22"/>
      <c r="DD106" s="22"/>
      <c r="DE106" s="22"/>
      <c r="DF106" s="22"/>
      <c r="DG106" s="22"/>
      <c r="DH106" s="22"/>
      <c r="DI106" s="22"/>
      <c r="DJ106" s="22"/>
      <c r="DK106" s="22"/>
      <c r="DL106" s="22"/>
      <c r="DM106" s="22"/>
      <c r="DN106" s="22"/>
      <c r="DO106" s="22"/>
      <c r="DP106" s="22"/>
      <c r="DQ106" s="22"/>
      <c r="DR106" s="22"/>
      <c r="DS106" s="22"/>
      <c r="DT106" s="22"/>
      <c r="DU106" s="22"/>
      <c r="DV106" s="22"/>
      <c r="DW106" s="22"/>
      <c r="DX106" s="22"/>
      <c r="DY106" s="22"/>
      <c r="DZ106" s="22"/>
      <c r="EA106" s="22"/>
      <c r="EB106" s="22"/>
      <c r="EC106" s="22"/>
      <c r="ED106" s="22"/>
      <c r="EE106" s="22"/>
      <c r="EF106" s="22"/>
      <c r="EG106" s="22"/>
      <c r="EH106" s="22"/>
      <c r="EI106" s="22"/>
      <c r="EJ106" s="22"/>
      <c r="EK106" s="22"/>
      <c r="EL106" s="22"/>
      <c r="EM106" s="22"/>
      <c r="EN106" s="22"/>
      <c r="EO106" s="22"/>
      <c r="EP106" s="22"/>
      <c r="EQ106" s="22"/>
      <c r="ER106" s="22"/>
      <c r="ES106" s="22"/>
      <c r="ET106" s="22"/>
      <c r="EU106" s="22"/>
      <c r="EV106" s="22"/>
      <c r="EW106" s="22"/>
      <c r="EX106" s="22"/>
      <c r="EY106" s="22"/>
      <c r="EZ106" s="22"/>
      <c r="FA106" s="22"/>
      <c r="FB106" s="22"/>
      <c r="FC106" s="22"/>
      <c r="FD106" s="22"/>
      <c r="FE106" s="22"/>
      <c r="FF106" s="22"/>
      <c r="FG106" s="22"/>
      <c r="FH106" s="22"/>
      <c r="FI106" s="22"/>
      <c r="FJ106" s="22"/>
      <c r="FK106" s="22"/>
      <c r="FL106" s="22"/>
      <c r="FM106" s="22"/>
      <c r="FN106" s="22"/>
      <c r="FO106" s="22"/>
      <c r="FP106" s="22"/>
      <c r="FQ106" s="22"/>
      <c r="FR106" s="22"/>
      <c r="FS106" s="22"/>
      <c r="FT106" s="22"/>
      <c r="FU106" s="22"/>
      <c r="FV106" s="22"/>
      <c r="FW106" s="22"/>
      <c r="FX106" s="22"/>
      <c r="FY106" s="22"/>
      <c r="FZ106" s="22"/>
      <c r="GA106" s="22"/>
      <c r="GB106" s="22"/>
      <c r="GC106" s="22"/>
      <c r="GD106" s="22"/>
      <c r="GE106" s="22"/>
      <c r="GF106" s="22"/>
      <c r="GG106" s="22"/>
      <c r="GH106" s="22"/>
      <c r="GI106" s="22"/>
      <c r="GJ106" s="22"/>
      <c r="GK106" s="22"/>
      <c r="GL106" s="22"/>
      <c r="GM106" s="22"/>
      <c r="GN106" s="22"/>
      <c r="GO106" s="22"/>
      <c r="GP106" s="22"/>
      <c r="GQ106" s="22"/>
      <c r="GR106" s="22"/>
      <c r="GS106" s="22"/>
      <c r="GT106" s="22"/>
      <c r="GU106" s="22"/>
      <c r="GV106" s="22"/>
      <c r="GW106" s="22"/>
      <c r="GX106" s="22"/>
      <c r="GY106" s="22"/>
      <c r="GZ106" s="22"/>
      <c r="HA106" s="22"/>
      <c r="HB106" s="22"/>
      <c r="HC106" s="22"/>
      <c r="HD106" s="22"/>
      <c r="HE106" s="22"/>
      <c r="HF106" s="22"/>
      <c r="HG106" s="22"/>
      <c r="HH106" s="22"/>
      <c r="HI106" s="22"/>
      <c r="HJ106" s="22"/>
      <c r="HK106" s="22"/>
      <c r="HL106" s="22"/>
      <c r="HM106" s="22"/>
      <c r="HN106" s="22"/>
      <c r="HO106" s="22"/>
      <c r="HP106" s="22"/>
      <c r="HQ106" s="22"/>
      <c r="HR106" s="22"/>
      <c r="HS106" s="22"/>
      <c r="HT106" s="22"/>
      <c r="HU106" s="22"/>
      <c r="HV106" s="22"/>
      <c r="HW106" s="22"/>
      <c r="HX106" s="22"/>
      <c r="HY106" s="22"/>
      <c r="HZ106" s="22"/>
      <c r="IA106" s="22"/>
      <c r="IB106" s="22"/>
      <c r="IC106" s="22"/>
      <c r="ID106" s="22"/>
      <c r="IE106" s="22"/>
      <c r="IF106" s="22"/>
      <c r="IG106" s="22"/>
      <c r="IH106" s="22"/>
      <c r="II106" s="22"/>
      <c r="IJ106" s="22"/>
      <c r="IK106" s="22"/>
      <c r="IL106" s="22"/>
    </row>
    <row r="107" spans="1:246" x14ac:dyDescent="0.2">
      <c r="A107" s="25"/>
      <c r="AL107" s="9"/>
      <c r="AM107" s="235"/>
    </row>
    <row r="108" spans="1:246" s="76" customFormat="1" x14ac:dyDescent="0.2">
      <c r="A108" s="91" t="s">
        <v>24</v>
      </c>
      <c r="B108" s="198"/>
      <c r="C108" s="198">
        <v>383853966</v>
      </c>
      <c r="D108" s="198">
        <v>116175737</v>
      </c>
      <c r="E108" s="198"/>
      <c r="F108" s="198"/>
      <c r="G108" s="198"/>
      <c r="H108" s="198">
        <v>7403468</v>
      </c>
      <c r="I108" s="198">
        <v>31794676</v>
      </c>
      <c r="J108" s="198">
        <v>30456423</v>
      </c>
      <c r="K108" s="198"/>
      <c r="L108" s="198"/>
      <c r="M108" s="198"/>
      <c r="N108" s="198"/>
      <c r="O108" s="198"/>
      <c r="P108" s="198"/>
      <c r="Q108" s="198">
        <v>9273379</v>
      </c>
      <c r="R108" s="198"/>
      <c r="S108" s="198">
        <v>14994018</v>
      </c>
      <c r="T108" s="198">
        <v>21030836</v>
      </c>
      <c r="U108" s="198"/>
      <c r="V108" s="198">
        <v>13449687</v>
      </c>
      <c r="W108" s="198">
        <v>8092430</v>
      </c>
      <c r="X108" s="198">
        <v>36889</v>
      </c>
      <c r="Y108" s="198">
        <v>16284482</v>
      </c>
      <c r="Z108" s="198">
        <v>16398098</v>
      </c>
      <c r="AA108" s="198">
        <v>1161194</v>
      </c>
      <c r="AB108" s="198">
        <v>4387935</v>
      </c>
      <c r="AC108" s="198">
        <v>5911276</v>
      </c>
      <c r="AD108" s="198"/>
      <c r="AE108" s="198"/>
      <c r="AF108" s="198">
        <v>96746826</v>
      </c>
      <c r="AG108" s="198">
        <v>16580362</v>
      </c>
      <c r="AH108" s="198">
        <v>6212109</v>
      </c>
      <c r="AI108" s="198">
        <v>749602</v>
      </c>
      <c r="AJ108" s="199"/>
      <c r="AK108" s="199"/>
      <c r="AL108" s="200"/>
      <c r="AM108" s="201">
        <f>SUM(B108:AK108)</f>
        <v>800993393</v>
      </c>
      <c r="AN108" s="2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  <c r="BH108" s="92"/>
      <c r="BI108" s="92"/>
      <c r="BJ108" s="92"/>
      <c r="BK108" s="92"/>
      <c r="BL108" s="92"/>
      <c r="BM108" s="92"/>
      <c r="BN108" s="92"/>
      <c r="BO108" s="92"/>
      <c r="BP108" s="92"/>
      <c r="BQ108" s="92"/>
      <c r="BR108" s="92"/>
      <c r="BS108" s="92"/>
      <c r="BT108" s="92"/>
      <c r="BU108" s="92"/>
      <c r="BV108" s="92"/>
      <c r="BW108" s="92"/>
      <c r="BX108" s="92"/>
      <c r="BY108" s="92"/>
      <c r="BZ108" s="92"/>
      <c r="CA108" s="92"/>
      <c r="CB108" s="92"/>
      <c r="CC108" s="92"/>
      <c r="CD108" s="92"/>
      <c r="CE108" s="92"/>
      <c r="CF108" s="92"/>
      <c r="CG108" s="92"/>
      <c r="CH108" s="92"/>
      <c r="CI108" s="92"/>
      <c r="CJ108" s="92"/>
      <c r="CK108" s="92"/>
      <c r="CL108" s="92"/>
      <c r="CM108" s="92"/>
      <c r="CN108" s="92"/>
      <c r="CO108" s="92"/>
      <c r="CP108" s="92"/>
      <c r="CQ108" s="92"/>
      <c r="CR108" s="92"/>
      <c r="CS108" s="92"/>
      <c r="CT108" s="92"/>
      <c r="CU108" s="92"/>
      <c r="CV108" s="92"/>
      <c r="CW108" s="92"/>
      <c r="CX108" s="92"/>
      <c r="CY108" s="92"/>
      <c r="CZ108" s="92"/>
      <c r="DA108" s="92"/>
      <c r="DB108" s="92"/>
      <c r="DC108" s="92"/>
      <c r="DD108" s="92"/>
      <c r="DE108" s="92"/>
      <c r="DF108" s="92"/>
      <c r="DG108" s="92"/>
      <c r="DH108" s="92"/>
      <c r="DI108" s="92"/>
      <c r="DJ108" s="92"/>
      <c r="DK108" s="92"/>
      <c r="DL108" s="92"/>
      <c r="DM108" s="92"/>
      <c r="DN108" s="92"/>
      <c r="DO108" s="92"/>
      <c r="DP108" s="92"/>
      <c r="DQ108" s="92"/>
      <c r="DR108" s="92"/>
      <c r="DS108" s="92"/>
      <c r="DT108" s="92"/>
      <c r="DU108" s="92"/>
      <c r="DV108" s="92"/>
      <c r="DW108" s="92"/>
      <c r="DX108" s="92"/>
      <c r="DY108" s="92"/>
      <c r="DZ108" s="92"/>
      <c r="EA108" s="92"/>
      <c r="EB108" s="92"/>
      <c r="EC108" s="92"/>
      <c r="ED108" s="92"/>
      <c r="EE108" s="92"/>
      <c r="EF108" s="92"/>
      <c r="EG108" s="92"/>
      <c r="EH108" s="92"/>
      <c r="EI108" s="92"/>
      <c r="EJ108" s="92"/>
      <c r="EK108" s="92"/>
      <c r="EL108" s="92"/>
      <c r="EM108" s="92"/>
      <c r="EN108" s="92"/>
      <c r="EO108" s="92"/>
      <c r="EP108" s="92"/>
      <c r="EQ108" s="92"/>
      <c r="ER108" s="92"/>
      <c r="ES108" s="92"/>
      <c r="ET108" s="92"/>
      <c r="EU108" s="92"/>
      <c r="EV108" s="92"/>
      <c r="EW108" s="92"/>
      <c r="EX108" s="92"/>
      <c r="EY108" s="92"/>
      <c r="EZ108" s="92"/>
      <c r="FA108" s="92"/>
      <c r="FB108" s="92"/>
      <c r="FC108" s="92"/>
      <c r="FD108" s="92"/>
      <c r="FE108" s="92"/>
      <c r="FF108" s="92"/>
      <c r="FG108" s="92"/>
      <c r="FH108" s="92"/>
      <c r="FI108" s="92"/>
      <c r="FJ108" s="92"/>
      <c r="FK108" s="92"/>
      <c r="FL108" s="92"/>
      <c r="FM108" s="92"/>
      <c r="FN108" s="92"/>
      <c r="FO108" s="92"/>
      <c r="FP108" s="92"/>
      <c r="FQ108" s="92"/>
      <c r="FR108" s="92"/>
      <c r="FS108" s="92"/>
      <c r="FT108" s="92"/>
      <c r="FU108" s="92"/>
      <c r="FV108" s="92"/>
      <c r="FW108" s="92"/>
      <c r="FX108" s="92"/>
      <c r="FY108" s="92"/>
      <c r="FZ108" s="92"/>
      <c r="GA108" s="92"/>
      <c r="GB108" s="92"/>
      <c r="GC108" s="92"/>
      <c r="GD108" s="92"/>
      <c r="GE108" s="92"/>
      <c r="GF108" s="92"/>
      <c r="GG108" s="92"/>
      <c r="GH108" s="92"/>
      <c r="GI108" s="92"/>
      <c r="GJ108" s="92"/>
      <c r="GK108" s="92"/>
      <c r="GL108" s="92"/>
      <c r="GM108" s="92"/>
      <c r="GN108" s="92"/>
      <c r="GO108" s="92"/>
      <c r="GP108" s="92"/>
      <c r="GQ108" s="92"/>
      <c r="GR108" s="92"/>
      <c r="GS108" s="92"/>
      <c r="GT108" s="92"/>
      <c r="GU108" s="92"/>
      <c r="GV108" s="92"/>
      <c r="GW108" s="92"/>
      <c r="GX108" s="92"/>
      <c r="GY108" s="92"/>
      <c r="GZ108" s="92"/>
      <c r="HA108" s="92"/>
      <c r="HB108" s="92"/>
      <c r="HC108" s="92"/>
      <c r="HD108" s="92"/>
      <c r="HE108" s="92"/>
      <c r="HF108" s="92"/>
      <c r="HG108" s="92"/>
      <c r="HH108" s="92"/>
      <c r="HI108" s="92"/>
      <c r="HJ108" s="92"/>
      <c r="HK108" s="92"/>
      <c r="HL108" s="92"/>
      <c r="HM108" s="92"/>
      <c r="HN108" s="92"/>
      <c r="HO108" s="92"/>
      <c r="HP108" s="92"/>
      <c r="HQ108" s="92"/>
      <c r="HR108" s="92"/>
      <c r="HS108" s="92"/>
      <c r="HT108" s="92"/>
      <c r="HU108" s="92"/>
      <c r="HV108" s="92"/>
      <c r="HW108" s="92"/>
      <c r="HX108" s="92"/>
      <c r="HY108" s="92"/>
      <c r="HZ108" s="92"/>
      <c r="IA108" s="92"/>
      <c r="IB108" s="92"/>
      <c r="IC108" s="92"/>
      <c r="ID108" s="92"/>
      <c r="IE108" s="92"/>
      <c r="IF108" s="92"/>
      <c r="IG108" s="92"/>
      <c r="IH108" s="92"/>
      <c r="II108" s="92"/>
      <c r="IJ108" s="92"/>
      <c r="IK108" s="92"/>
      <c r="IL108" s="92"/>
    </row>
    <row r="109" spans="1:246" s="94" customFormat="1" x14ac:dyDescent="0.2">
      <c r="A109" s="93" t="s">
        <v>25</v>
      </c>
      <c r="B109" s="202"/>
      <c r="C109" s="202">
        <v>947965903</v>
      </c>
      <c r="D109" s="202">
        <v>169402221</v>
      </c>
      <c r="E109" s="202"/>
      <c r="F109" s="202"/>
      <c r="G109" s="202"/>
      <c r="H109" s="202">
        <v>9051335</v>
      </c>
      <c r="I109" s="202">
        <v>41882142</v>
      </c>
      <c r="J109" s="202">
        <v>47802589</v>
      </c>
      <c r="K109" s="202"/>
      <c r="L109" s="202"/>
      <c r="M109" s="202"/>
      <c r="N109" s="202"/>
      <c r="O109" s="202"/>
      <c r="P109" s="202"/>
      <c r="Q109" s="202">
        <v>10435305</v>
      </c>
      <c r="R109" s="202"/>
      <c r="S109" s="202">
        <v>18101516</v>
      </c>
      <c r="T109" s="202">
        <v>29079543</v>
      </c>
      <c r="U109" s="202"/>
      <c r="V109" s="202">
        <v>16524376</v>
      </c>
      <c r="W109" s="202">
        <v>10900911</v>
      </c>
      <c r="X109" s="202">
        <v>36889</v>
      </c>
      <c r="Y109" s="202">
        <v>22092503</v>
      </c>
      <c r="Z109" s="202">
        <v>23293138</v>
      </c>
      <c r="AA109" s="202">
        <v>1617149</v>
      </c>
      <c r="AB109" s="202">
        <v>4793700</v>
      </c>
      <c r="AC109" s="202">
        <v>6628647</v>
      </c>
      <c r="AD109" s="202"/>
      <c r="AE109" s="202"/>
      <c r="AF109" s="202">
        <v>123980488</v>
      </c>
      <c r="AG109" s="202">
        <v>18619219</v>
      </c>
      <c r="AH109" s="202">
        <v>8412780</v>
      </c>
      <c r="AI109" s="202">
        <v>747464</v>
      </c>
      <c r="AJ109" s="203"/>
      <c r="AK109" s="203"/>
      <c r="AL109" s="204"/>
      <c r="AM109" s="205">
        <f>SUM(B109:AK109)</f>
        <v>1511367818</v>
      </c>
      <c r="AN109" s="2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  <c r="BH109" s="92"/>
      <c r="BI109" s="92"/>
      <c r="BJ109" s="92"/>
      <c r="BK109" s="92"/>
      <c r="BL109" s="92"/>
      <c r="BM109" s="92"/>
      <c r="BN109" s="92"/>
      <c r="BO109" s="92"/>
      <c r="BP109" s="92"/>
      <c r="BQ109" s="92"/>
      <c r="BR109" s="92"/>
      <c r="BS109" s="92"/>
      <c r="BT109" s="92"/>
      <c r="BU109" s="92"/>
      <c r="BV109" s="92"/>
      <c r="BW109" s="92"/>
      <c r="BX109" s="92"/>
      <c r="BY109" s="92"/>
      <c r="BZ109" s="92"/>
      <c r="CA109" s="92"/>
      <c r="CB109" s="92"/>
      <c r="CC109" s="92"/>
      <c r="CD109" s="92"/>
      <c r="CE109" s="92"/>
      <c r="CF109" s="92"/>
      <c r="CG109" s="92"/>
      <c r="CH109" s="92"/>
      <c r="CI109" s="92"/>
      <c r="CJ109" s="92"/>
      <c r="CK109" s="92"/>
      <c r="CL109" s="92"/>
      <c r="CM109" s="92"/>
      <c r="CN109" s="92"/>
      <c r="CO109" s="92"/>
      <c r="CP109" s="92"/>
      <c r="CQ109" s="92"/>
      <c r="CR109" s="92"/>
      <c r="CS109" s="92"/>
      <c r="CT109" s="92"/>
      <c r="CU109" s="92"/>
      <c r="CV109" s="92"/>
      <c r="CW109" s="92"/>
      <c r="CX109" s="92"/>
      <c r="CY109" s="92"/>
      <c r="CZ109" s="92"/>
      <c r="DA109" s="92"/>
      <c r="DB109" s="92"/>
      <c r="DC109" s="92"/>
      <c r="DD109" s="92"/>
      <c r="DE109" s="92"/>
      <c r="DF109" s="92"/>
      <c r="DG109" s="92"/>
      <c r="DH109" s="92"/>
      <c r="DI109" s="92"/>
      <c r="DJ109" s="92"/>
      <c r="DK109" s="92"/>
      <c r="DL109" s="92"/>
      <c r="DM109" s="92"/>
      <c r="DN109" s="92"/>
      <c r="DO109" s="92"/>
      <c r="DP109" s="92"/>
      <c r="DQ109" s="92"/>
      <c r="DR109" s="92"/>
      <c r="DS109" s="92"/>
      <c r="DT109" s="92"/>
      <c r="DU109" s="92"/>
      <c r="DV109" s="92"/>
      <c r="DW109" s="92"/>
      <c r="DX109" s="92"/>
      <c r="DY109" s="92"/>
      <c r="DZ109" s="92"/>
      <c r="EA109" s="92"/>
      <c r="EB109" s="92"/>
      <c r="EC109" s="92"/>
      <c r="ED109" s="92"/>
      <c r="EE109" s="92"/>
      <c r="EF109" s="92"/>
      <c r="EG109" s="92"/>
      <c r="EH109" s="92"/>
      <c r="EI109" s="92"/>
      <c r="EJ109" s="92"/>
      <c r="EK109" s="92"/>
      <c r="EL109" s="92"/>
      <c r="EM109" s="92"/>
      <c r="EN109" s="92"/>
      <c r="EO109" s="92"/>
      <c r="EP109" s="92"/>
      <c r="EQ109" s="92"/>
      <c r="ER109" s="92"/>
      <c r="ES109" s="92"/>
      <c r="ET109" s="92"/>
      <c r="EU109" s="92"/>
      <c r="EV109" s="92"/>
      <c r="EW109" s="92"/>
      <c r="EX109" s="92"/>
      <c r="EY109" s="92"/>
      <c r="EZ109" s="92"/>
      <c r="FA109" s="92"/>
      <c r="FB109" s="92"/>
      <c r="FC109" s="92"/>
      <c r="FD109" s="92"/>
      <c r="FE109" s="92"/>
      <c r="FF109" s="92"/>
      <c r="FG109" s="92"/>
      <c r="FH109" s="92"/>
      <c r="FI109" s="92"/>
      <c r="FJ109" s="92"/>
      <c r="FK109" s="92"/>
      <c r="FL109" s="92"/>
      <c r="FM109" s="92"/>
      <c r="FN109" s="92"/>
      <c r="FO109" s="92"/>
      <c r="FP109" s="92"/>
      <c r="FQ109" s="92"/>
      <c r="FR109" s="92"/>
      <c r="FS109" s="92"/>
      <c r="FT109" s="92"/>
      <c r="FU109" s="92"/>
      <c r="FV109" s="92"/>
      <c r="FW109" s="92"/>
      <c r="FX109" s="92"/>
      <c r="FY109" s="92"/>
      <c r="FZ109" s="92"/>
      <c r="GA109" s="92"/>
      <c r="GB109" s="92"/>
      <c r="GC109" s="92"/>
      <c r="GD109" s="92"/>
      <c r="GE109" s="92"/>
      <c r="GF109" s="92"/>
      <c r="GG109" s="92"/>
      <c r="GH109" s="92"/>
      <c r="GI109" s="92"/>
      <c r="GJ109" s="92"/>
      <c r="GK109" s="92"/>
      <c r="GL109" s="92"/>
      <c r="GM109" s="92"/>
      <c r="GN109" s="92"/>
      <c r="GO109" s="92"/>
      <c r="GP109" s="92"/>
      <c r="GQ109" s="92"/>
      <c r="GR109" s="92"/>
      <c r="GS109" s="92"/>
      <c r="GT109" s="92"/>
      <c r="GU109" s="92"/>
      <c r="GV109" s="92"/>
      <c r="GW109" s="92"/>
      <c r="GX109" s="92"/>
      <c r="GY109" s="92"/>
      <c r="GZ109" s="92"/>
      <c r="HA109" s="92"/>
      <c r="HB109" s="92"/>
      <c r="HC109" s="92"/>
      <c r="HD109" s="92"/>
      <c r="HE109" s="92"/>
      <c r="HF109" s="92"/>
      <c r="HG109" s="92"/>
      <c r="HH109" s="92"/>
      <c r="HI109" s="92"/>
      <c r="HJ109" s="92"/>
      <c r="HK109" s="92"/>
      <c r="HL109" s="92"/>
      <c r="HM109" s="92"/>
      <c r="HN109" s="92"/>
      <c r="HO109" s="92"/>
      <c r="HP109" s="92"/>
      <c r="HQ109" s="92"/>
      <c r="HR109" s="92"/>
      <c r="HS109" s="92"/>
      <c r="HT109" s="92"/>
      <c r="HU109" s="92"/>
      <c r="HV109" s="92"/>
      <c r="HW109" s="92"/>
      <c r="HX109" s="92"/>
      <c r="HY109" s="92"/>
      <c r="HZ109" s="92"/>
      <c r="IA109" s="92"/>
      <c r="IB109" s="92"/>
      <c r="IC109" s="92"/>
      <c r="ID109" s="92"/>
      <c r="IE109" s="92"/>
      <c r="IF109" s="92"/>
      <c r="IG109" s="92"/>
      <c r="IH109" s="92"/>
      <c r="II109" s="92"/>
      <c r="IJ109" s="92"/>
      <c r="IK109" s="92"/>
      <c r="IL109" s="92"/>
    </row>
    <row r="110" spans="1:246" x14ac:dyDescent="0.2">
      <c r="AL110" s="22"/>
    </row>
    <row r="111" spans="1:246" x14ac:dyDescent="0.2">
      <c r="AL111" s="22"/>
      <c r="AN111" s="92"/>
    </row>
    <row r="112" spans="1:246" x14ac:dyDescent="0.2">
      <c r="AL112" s="22"/>
      <c r="AN112" s="92"/>
    </row>
    <row r="113" spans="38:38" x14ac:dyDescent="0.2">
      <c r="AL113" s="22"/>
    </row>
    <row r="114" spans="38:38" x14ac:dyDescent="0.2">
      <c r="AL114" s="22"/>
    </row>
    <row r="115" spans="38:38" x14ac:dyDescent="0.2">
      <c r="AL115" s="22"/>
    </row>
    <row r="116" spans="38:38" x14ac:dyDescent="0.2">
      <c r="AL116" s="22"/>
    </row>
    <row r="117" spans="38:38" x14ac:dyDescent="0.2">
      <c r="AL117" s="22"/>
    </row>
    <row r="118" spans="38:38" x14ac:dyDescent="0.2">
      <c r="AL118" s="22"/>
    </row>
    <row r="119" spans="38:38" x14ac:dyDescent="0.2">
      <c r="AL119" s="22"/>
    </row>
    <row r="120" spans="38:38" x14ac:dyDescent="0.2">
      <c r="AL120" s="22"/>
    </row>
    <row r="121" spans="38:38" x14ac:dyDescent="0.2">
      <c r="AL121" s="22"/>
    </row>
    <row r="122" spans="38:38" x14ac:dyDescent="0.2">
      <c r="AL122" s="22"/>
    </row>
    <row r="123" spans="38:38" x14ac:dyDescent="0.2">
      <c r="AL123" s="22"/>
    </row>
    <row r="124" spans="38:38" x14ac:dyDescent="0.2">
      <c r="AL124" s="22"/>
    </row>
    <row r="125" spans="38:38" x14ac:dyDescent="0.2">
      <c r="AL125" s="22"/>
    </row>
    <row r="126" spans="38:38" x14ac:dyDescent="0.2">
      <c r="AL126" s="22"/>
    </row>
    <row r="127" spans="38:38" x14ac:dyDescent="0.2">
      <c r="AL127" s="22"/>
    </row>
    <row r="128" spans="38:38" x14ac:dyDescent="0.2">
      <c r="AL128" s="22"/>
    </row>
    <row r="129" spans="38:38" x14ac:dyDescent="0.2">
      <c r="AL129" s="22"/>
    </row>
    <row r="130" spans="38:38" x14ac:dyDescent="0.2">
      <c r="AL130" s="22"/>
    </row>
    <row r="131" spans="38:38" x14ac:dyDescent="0.2">
      <c r="AL131" s="22"/>
    </row>
    <row r="132" spans="38:38" x14ac:dyDescent="0.2">
      <c r="AL132" s="22"/>
    </row>
    <row r="133" spans="38:38" x14ac:dyDescent="0.2">
      <c r="AL133" s="22"/>
    </row>
    <row r="134" spans="38:38" x14ac:dyDescent="0.2">
      <c r="AL134" s="22"/>
    </row>
    <row r="135" spans="38:38" x14ac:dyDescent="0.2">
      <c r="AL135" s="22"/>
    </row>
    <row r="136" spans="38:38" x14ac:dyDescent="0.2">
      <c r="AL136" s="22"/>
    </row>
    <row r="137" spans="38:38" x14ac:dyDescent="0.2">
      <c r="AL137" s="22"/>
    </row>
    <row r="138" spans="38:38" x14ac:dyDescent="0.2">
      <c r="AL138" s="22"/>
    </row>
    <row r="139" spans="38:38" x14ac:dyDescent="0.2">
      <c r="AL139" s="22"/>
    </row>
    <row r="140" spans="38:38" x14ac:dyDescent="0.2">
      <c r="AL140" s="22"/>
    </row>
    <row r="141" spans="38:38" x14ac:dyDescent="0.2">
      <c r="AL141" s="22"/>
    </row>
    <row r="142" spans="38:38" x14ac:dyDescent="0.2">
      <c r="AL142" s="22"/>
    </row>
    <row r="143" spans="38:38" x14ac:dyDescent="0.2">
      <c r="AL143" s="22"/>
    </row>
    <row r="144" spans="38:38" x14ac:dyDescent="0.2">
      <c r="AL144" s="22"/>
    </row>
    <row r="145" spans="38:38" x14ac:dyDescent="0.2">
      <c r="AL145" s="22"/>
    </row>
    <row r="146" spans="38:38" x14ac:dyDescent="0.2">
      <c r="AL146" s="22"/>
    </row>
    <row r="147" spans="38:38" x14ac:dyDescent="0.2">
      <c r="AL147" s="22"/>
    </row>
    <row r="148" spans="38:38" x14ac:dyDescent="0.2">
      <c r="AL148" s="22"/>
    </row>
    <row r="149" spans="38:38" x14ac:dyDescent="0.2">
      <c r="AL149" s="22"/>
    </row>
    <row r="150" spans="38:38" x14ac:dyDescent="0.2">
      <c r="AL150" s="22"/>
    </row>
    <row r="151" spans="38:38" x14ac:dyDescent="0.2">
      <c r="AL151" s="22"/>
    </row>
    <row r="152" spans="38:38" x14ac:dyDescent="0.2">
      <c r="AL152" s="22"/>
    </row>
    <row r="153" spans="38:38" x14ac:dyDescent="0.2">
      <c r="AL153" s="22"/>
    </row>
    <row r="154" spans="38:38" x14ac:dyDescent="0.2">
      <c r="AL154" s="22"/>
    </row>
    <row r="155" spans="38:38" x14ac:dyDescent="0.2">
      <c r="AL155" s="22"/>
    </row>
    <row r="156" spans="38:38" x14ac:dyDescent="0.2">
      <c r="AL156" s="22"/>
    </row>
    <row r="157" spans="38:38" x14ac:dyDescent="0.2">
      <c r="AL157" s="22"/>
    </row>
    <row r="158" spans="38:38" x14ac:dyDescent="0.2">
      <c r="AL158" s="22"/>
    </row>
    <row r="159" spans="38:38" x14ac:dyDescent="0.2">
      <c r="AL159" s="22"/>
    </row>
    <row r="160" spans="38:38" x14ac:dyDescent="0.2">
      <c r="AL160" s="22"/>
    </row>
    <row r="161" spans="38:38" x14ac:dyDescent="0.2">
      <c r="AL161" s="22"/>
    </row>
    <row r="162" spans="38:38" x14ac:dyDescent="0.2">
      <c r="AL162" s="22"/>
    </row>
    <row r="163" spans="38:38" x14ac:dyDescent="0.2">
      <c r="AL163" s="22"/>
    </row>
    <row r="164" spans="38:38" x14ac:dyDescent="0.2">
      <c r="AL164" s="22"/>
    </row>
    <row r="165" spans="38:38" x14ac:dyDescent="0.2">
      <c r="AL165" s="22"/>
    </row>
    <row r="166" spans="38:38" x14ac:dyDescent="0.2">
      <c r="AL166" s="22"/>
    </row>
    <row r="167" spans="38:38" x14ac:dyDescent="0.2">
      <c r="AL167" s="22"/>
    </row>
    <row r="168" spans="38:38" x14ac:dyDescent="0.2">
      <c r="AL168" s="22"/>
    </row>
    <row r="169" spans="38:38" x14ac:dyDescent="0.2">
      <c r="AL169" s="22"/>
    </row>
    <row r="170" spans="38:38" x14ac:dyDescent="0.2">
      <c r="AL170" s="22"/>
    </row>
    <row r="171" spans="38:38" x14ac:dyDescent="0.2">
      <c r="AL171" s="22"/>
    </row>
    <row r="172" spans="38:38" x14ac:dyDescent="0.2">
      <c r="AL172" s="22"/>
    </row>
    <row r="173" spans="38:38" x14ac:dyDescent="0.2">
      <c r="AL173" s="22"/>
    </row>
    <row r="174" spans="38:38" x14ac:dyDescent="0.2">
      <c r="AL174" s="22"/>
    </row>
    <row r="175" spans="38:38" x14ac:dyDescent="0.2">
      <c r="AL175" s="22"/>
    </row>
    <row r="176" spans="38:38" x14ac:dyDescent="0.2">
      <c r="AL176" s="22"/>
    </row>
    <row r="177" spans="38:38" x14ac:dyDescent="0.2">
      <c r="AL177" s="22"/>
    </row>
    <row r="178" spans="38:38" x14ac:dyDescent="0.2">
      <c r="AL178" s="22"/>
    </row>
    <row r="179" spans="38:38" x14ac:dyDescent="0.2">
      <c r="AL179" s="22"/>
    </row>
    <row r="180" spans="38:38" x14ac:dyDescent="0.2">
      <c r="AL180" s="22"/>
    </row>
    <row r="181" spans="38:38" x14ac:dyDescent="0.2">
      <c r="AL181" s="22"/>
    </row>
    <row r="182" spans="38:38" x14ac:dyDescent="0.2">
      <c r="AL182" s="22"/>
    </row>
    <row r="183" spans="38:38" x14ac:dyDescent="0.2">
      <c r="AL183" s="22"/>
    </row>
    <row r="184" spans="38:38" x14ac:dyDescent="0.2">
      <c r="AL184" s="22"/>
    </row>
    <row r="185" spans="38:38" x14ac:dyDescent="0.2">
      <c r="AL185" s="22"/>
    </row>
    <row r="186" spans="38:38" x14ac:dyDescent="0.2">
      <c r="AL186" s="22"/>
    </row>
    <row r="187" spans="38:38" x14ac:dyDescent="0.2">
      <c r="AL187" s="22"/>
    </row>
    <row r="188" spans="38:38" x14ac:dyDescent="0.2">
      <c r="AL188" s="22"/>
    </row>
    <row r="189" spans="38:38" x14ac:dyDescent="0.2">
      <c r="AL189" s="22"/>
    </row>
    <row r="190" spans="38:38" x14ac:dyDescent="0.2">
      <c r="AL190" s="22"/>
    </row>
    <row r="191" spans="38:38" x14ac:dyDescent="0.2">
      <c r="AL191" s="22"/>
    </row>
    <row r="192" spans="38:38" x14ac:dyDescent="0.2">
      <c r="AL192" s="22"/>
    </row>
    <row r="193" spans="38:38" x14ac:dyDescent="0.2">
      <c r="AL193" s="22"/>
    </row>
    <row r="194" spans="38:38" x14ac:dyDescent="0.2">
      <c r="AL194" s="22"/>
    </row>
    <row r="195" spans="38:38" x14ac:dyDescent="0.2">
      <c r="AL195" s="22"/>
    </row>
    <row r="196" spans="38:38" x14ac:dyDescent="0.2">
      <c r="AL196" s="22"/>
    </row>
    <row r="197" spans="38:38" x14ac:dyDescent="0.2">
      <c r="AL197" s="22"/>
    </row>
    <row r="198" spans="38:38" x14ac:dyDescent="0.2">
      <c r="AL198" s="22"/>
    </row>
    <row r="199" spans="38:38" x14ac:dyDescent="0.2">
      <c r="AL199" s="22"/>
    </row>
    <row r="200" spans="38:38" x14ac:dyDescent="0.2">
      <c r="AL200" s="22"/>
    </row>
    <row r="201" spans="38:38" x14ac:dyDescent="0.2">
      <c r="AL201" s="22"/>
    </row>
    <row r="202" spans="38:38" x14ac:dyDescent="0.2">
      <c r="AL202" s="22"/>
    </row>
    <row r="203" spans="38:38" x14ac:dyDescent="0.2">
      <c r="AL203" s="22"/>
    </row>
    <row r="204" spans="38:38" x14ac:dyDescent="0.2">
      <c r="AL204" s="22"/>
    </row>
    <row r="205" spans="38:38" x14ac:dyDescent="0.2">
      <c r="AL205" s="22"/>
    </row>
    <row r="206" spans="38:38" x14ac:dyDescent="0.2">
      <c r="AL206" s="22"/>
    </row>
    <row r="207" spans="38:38" x14ac:dyDescent="0.2">
      <c r="AL207" s="22"/>
    </row>
    <row r="208" spans="38:38" x14ac:dyDescent="0.2">
      <c r="AL208" s="22"/>
    </row>
    <row r="209" spans="38:38" x14ac:dyDescent="0.2">
      <c r="AL209" s="22"/>
    </row>
    <row r="210" spans="38:38" x14ac:dyDescent="0.2">
      <c r="AL210" s="22"/>
    </row>
    <row r="211" spans="38:38" x14ac:dyDescent="0.2">
      <c r="AL211" s="22"/>
    </row>
    <row r="212" spans="38:38" x14ac:dyDescent="0.2">
      <c r="AL212" s="22"/>
    </row>
    <row r="213" spans="38:38" x14ac:dyDescent="0.2">
      <c r="AL213" s="22"/>
    </row>
    <row r="214" spans="38:38" x14ac:dyDescent="0.2">
      <c r="AL214" s="22"/>
    </row>
    <row r="215" spans="38:38" x14ac:dyDescent="0.2">
      <c r="AL215" s="22"/>
    </row>
    <row r="216" spans="38:38" x14ac:dyDescent="0.2">
      <c r="AL216" s="22"/>
    </row>
    <row r="217" spans="38:38" x14ac:dyDescent="0.2">
      <c r="AL217" s="22"/>
    </row>
    <row r="218" spans="38:38" x14ac:dyDescent="0.2">
      <c r="AL218" s="22"/>
    </row>
    <row r="219" spans="38:38" x14ac:dyDescent="0.2">
      <c r="AL219" s="22"/>
    </row>
    <row r="220" spans="38:38" x14ac:dyDescent="0.2">
      <c r="AL220" s="22"/>
    </row>
    <row r="221" spans="38:38" x14ac:dyDescent="0.2">
      <c r="AL221" s="22"/>
    </row>
    <row r="222" spans="38:38" x14ac:dyDescent="0.2">
      <c r="AL222" s="22"/>
    </row>
    <row r="223" spans="38:38" x14ac:dyDescent="0.2">
      <c r="AL223" s="22"/>
    </row>
    <row r="224" spans="38:38" x14ac:dyDescent="0.2">
      <c r="AL224" s="22"/>
    </row>
    <row r="225" spans="38:38" x14ac:dyDescent="0.2">
      <c r="AL225" s="22"/>
    </row>
    <row r="226" spans="38:38" x14ac:dyDescent="0.2">
      <c r="AL226" s="22"/>
    </row>
    <row r="227" spans="38:38" x14ac:dyDescent="0.2">
      <c r="AL227" s="22"/>
    </row>
    <row r="228" spans="38:38" x14ac:dyDescent="0.2">
      <c r="AL228" s="22"/>
    </row>
    <row r="229" spans="38:38" x14ac:dyDescent="0.2">
      <c r="AL229" s="22"/>
    </row>
    <row r="230" spans="38:38" x14ac:dyDescent="0.2">
      <c r="AL230" s="22"/>
    </row>
    <row r="231" spans="38:38" x14ac:dyDescent="0.2">
      <c r="AL231" s="22"/>
    </row>
    <row r="232" spans="38:38" x14ac:dyDescent="0.2">
      <c r="AL232" s="22"/>
    </row>
    <row r="233" spans="38:38" x14ac:dyDescent="0.2">
      <c r="AL233" s="22"/>
    </row>
    <row r="234" spans="38:38" x14ac:dyDescent="0.2">
      <c r="AL234" s="22"/>
    </row>
    <row r="235" spans="38:38" x14ac:dyDescent="0.2">
      <c r="AL235" s="22"/>
    </row>
    <row r="236" spans="38:38" x14ac:dyDescent="0.2">
      <c r="AL236" s="22"/>
    </row>
    <row r="237" spans="38:38" x14ac:dyDescent="0.2">
      <c r="AL237" s="22"/>
    </row>
    <row r="238" spans="38:38" x14ac:dyDescent="0.2">
      <c r="AL238" s="22"/>
    </row>
    <row r="239" spans="38:38" x14ac:dyDescent="0.2">
      <c r="AL239" s="22"/>
    </row>
    <row r="240" spans="38:38" x14ac:dyDescent="0.2">
      <c r="AL240" s="22"/>
    </row>
    <row r="241" spans="38:38" x14ac:dyDescent="0.2">
      <c r="AL241" s="22"/>
    </row>
    <row r="242" spans="38:38" x14ac:dyDescent="0.2">
      <c r="AL242" s="22"/>
    </row>
    <row r="243" spans="38:38" x14ac:dyDescent="0.2">
      <c r="AL243" s="22"/>
    </row>
    <row r="244" spans="38:38" x14ac:dyDescent="0.2">
      <c r="AL244" s="22"/>
    </row>
    <row r="245" spans="38:38" x14ac:dyDescent="0.2">
      <c r="AL245" s="22"/>
    </row>
    <row r="246" spans="38:38" x14ac:dyDescent="0.2">
      <c r="AL246" s="22"/>
    </row>
    <row r="247" spans="38:38" x14ac:dyDescent="0.2">
      <c r="AL247" s="22"/>
    </row>
    <row r="248" spans="38:38" x14ac:dyDescent="0.2">
      <c r="AL248" s="22"/>
    </row>
    <row r="249" spans="38:38" x14ac:dyDescent="0.2">
      <c r="AL249" s="22"/>
    </row>
    <row r="250" spans="38:38" x14ac:dyDescent="0.2">
      <c r="AL250" s="22"/>
    </row>
    <row r="251" spans="38:38" x14ac:dyDescent="0.2">
      <c r="AL251" s="22"/>
    </row>
    <row r="252" spans="38:38" x14ac:dyDescent="0.2">
      <c r="AL252" s="22"/>
    </row>
    <row r="253" spans="38:38" x14ac:dyDescent="0.2">
      <c r="AL253" s="22"/>
    </row>
    <row r="254" spans="38:38" x14ac:dyDescent="0.2">
      <c r="AL254" s="22"/>
    </row>
    <row r="255" spans="38:38" x14ac:dyDescent="0.2">
      <c r="AL255" s="22"/>
    </row>
    <row r="256" spans="38:38" x14ac:dyDescent="0.2">
      <c r="AL256" s="22"/>
    </row>
    <row r="257" spans="38:38" x14ac:dyDescent="0.2">
      <c r="AL257" s="22"/>
    </row>
    <row r="258" spans="38:38" x14ac:dyDescent="0.2">
      <c r="AL258" s="22"/>
    </row>
    <row r="259" spans="38:38" x14ac:dyDescent="0.2">
      <c r="AL259" s="22"/>
    </row>
    <row r="260" spans="38:38" x14ac:dyDescent="0.2">
      <c r="AL260" s="22"/>
    </row>
    <row r="261" spans="38:38" x14ac:dyDescent="0.2">
      <c r="AL261" s="22"/>
    </row>
    <row r="262" spans="38:38" x14ac:dyDescent="0.2">
      <c r="AL262" s="22"/>
    </row>
    <row r="263" spans="38:38" x14ac:dyDescent="0.2">
      <c r="AL263" s="22"/>
    </row>
    <row r="264" spans="38:38" x14ac:dyDescent="0.2">
      <c r="AL264" s="22"/>
    </row>
    <row r="265" spans="38:38" x14ac:dyDescent="0.2">
      <c r="AL265" s="22"/>
    </row>
    <row r="266" spans="38:38" x14ac:dyDescent="0.2">
      <c r="AL266" s="22"/>
    </row>
    <row r="267" spans="38:38" x14ac:dyDescent="0.2">
      <c r="AL267" s="22"/>
    </row>
    <row r="268" spans="38:38" x14ac:dyDescent="0.2">
      <c r="AL268" s="22"/>
    </row>
    <row r="269" spans="38:38" x14ac:dyDescent="0.2">
      <c r="AL269" s="22"/>
    </row>
    <row r="270" spans="38:38" x14ac:dyDescent="0.2">
      <c r="AL270" s="22"/>
    </row>
    <row r="271" spans="38:38" x14ac:dyDescent="0.2">
      <c r="AL271" s="22"/>
    </row>
    <row r="272" spans="38:38" x14ac:dyDescent="0.2">
      <c r="AL272" s="22"/>
    </row>
    <row r="273" spans="38:38" x14ac:dyDescent="0.2">
      <c r="AL273" s="22"/>
    </row>
    <row r="274" spans="38:38" x14ac:dyDescent="0.2">
      <c r="AL274" s="22"/>
    </row>
    <row r="275" spans="38:38" x14ac:dyDescent="0.2">
      <c r="AL275" s="22"/>
    </row>
    <row r="276" spans="38:38" x14ac:dyDescent="0.2">
      <c r="AL276" s="22"/>
    </row>
    <row r="277" spans="38:38" x14ac:dyDescent="0.2">
      <c r="AL277" s="22"/>
    </row>
    <row r="278" spans="38:38" x14ac:dyDescent="0.2">
      <c r="AL278" s="22"/>
    </row>
    <row r="279" spans="38:38" x14ac:dyDescent="0.2">
      <c r="AL279" s="22"/>
    </row>
    <row r="280" spans="38:38" x14ac:dyDescent="0.2">
      <c r="AL280" s="22"/>
    </row>
    <row r="281" spans="38:38" x14ac:dyDescent="0.2">
      <c r="AL281" s="22"/>
    </row>
    <row r="282" spans="38:38" x14ac:dyDescent="0.2">
      <c r="AL282" s="22"/>
    </row>
    <row r="283" spans="38:38" x14ac:dyDescent="0.2">
      <c r="AL283" s="22"/>
    </row>
    <row r="284" spans="38:38" x14ac:dyDescent="0.2">
      <c r="AL284" s="22"/>
    </row>
    <row r="285" spans="38:38" x14ac:dyDescent="0.2">
      <c r="AL285" s="22"/>
    </row>
    <row r="286" spans="38:38" x14ac:dyDescent="0.2">
      <c r="AL286" s="22"/>
    </row>
    <row r="287" spans="38:38" x14ac:dyDescent="0.2">
      <c r="AL287" s="22"/>
    </row>
    <row r="288" spans="38:38" x14ac:dyDescent="0.2">
      <c r="AL288" s="22"/>
    </row>
    <row r="289" spans="38:38" x14ac:dyDescent="0.2">
      <c r="AL289" s="22"/>
    </row>
    <row r="290" spans="38:38" x14ac:dyDescent="0.2">
      <c r="AL290" s="22"/>
    </row>
    <row r="291" spans="38:38" x14ac:dyDescent="0.2">
      <c r="AL291" s="22"/>
    </row>
    <row r="292" spans="38:38" x14ac:dyDescent="0.2">
      <c r="AL292" s="22"/>
    </row>
    <row r="293" spans="38:38" x14ac:dyDescent="0.2">
      <c r="AL293" s="22"/>
    </row>
    <row r="294" spans="38:38" x14ac:dyDescent="0.2">
      <c r="AL294" s="22"/>
    </row>
    <row r="295" spans="38:38" x14ac:dyDescent="0.2">
      <c r="AL295" s="22"/>
    </row>
    <row r="296" spans="38:38" x14ac:dyDescent="0.2">
      <c r="AL296" s="22"/>
    </row>
    <row r="297" spans="38:38" x14ac:dyDescent="0.2">
      <c r="AL297" s="22"/>
    </row>
    <row r="298" spans="38:38" x14ac:dyDescent="0.2">
      <c r="AL298" s="22"/>
    </row>
    <row r="299" spans="38:38" x14ac:dyDescent="0.2">
      <c r="AL299" s="22"/>
    </row>
    <row r="300" spans="38:38" x14ac:dyDescent="0.2">
      <c r="AL300" s="22"/>
    </row>
    <row r="301" spans="38:38" x14ac:dyDescent="0.2">
      <c r="AL301" s="22"/>
    </row>
    <row r="302" spans="38:38" x14ac:dyDescent="0.2">
      <c r="AL302" s="22"/>
    </row>
    <row r="303" spans="38:38" x14ac:dyDescent="0.2">
      <c r="AL303" s="22"/>
    </row>
    <row r="304" spans="38:38" x14ac:dyDescent="0.2">
      <c r="AL304" s="22"/>
    </row>
    <row r="305" spans="38:38" x14ac:dyDescent="0.2">
      <c r="AL305" s="22"/>
    </row>
    <row r="306" spans="38:38" x14ac:dyDescent="0.2">
      <c r="AL306" s="22"/>
    </row>
    <row r="307" spans="38:38" x14ac:dyDescent="0.2">
      <c r="AL307" s="22"/>
    </row>
    <row r="308" spans="38:38" x14ac:dyDescent="0.2">
      <c r="AL308" s="22"/>
    </row>
    <row r="309" spans="38:38" x14ac:dyDescent="0.2">
      <c r="AL309" s="22"/>
    </row>
    <row r="310" spans="38:38" x14ac:dyDescent="0.2">
      <c r="AL310" s="22"/>
    </row>
    <row r="311" spans="38:38" x14ac:dyDescent="0.2">
      <c r="AL311" s="22"/>
    </row>
    <row r="312" spans="38:38" x14ac:dyDescent="0.2">
      <c r="AL312" s="22"/>
    </row>
    <row r="313" spans="38:38" x14ac:dyDescent="0.2">
      <c r="AL313" s="22"/>
    </row>
    <row r="314" spans="38:38" x14ac:dyDescent="0.2">
      <c r="AL314" s="22"/>
    </row>
    <row r="315" spans="38:38" x14ac:dyDescent="0.2">
      <c r="AL315" s="22"/>
    </row>
    <row r="316" spans="38:38" x14ac:dyDescent="0.2">
      <c r="AL316" s="22"/>
    </row>
    <row r="317" spans="38:38" x14ac:dyDescent="0.2">
      <c r="AL317" s="22"/>
    </row>
    <row r="318" spans="38:38" x14ac:dyDescent="0.2">
      <c r="AL318" s="22"/>
    </row>
    <row r="319" spans="38:38" x14ac:dyDescent="0.2">
      <c r="AL319" s="22"/>
    </row>
    <row r="320" spans="38:38" x14ac:dyDescent="0.2">
      <c r="AL320" s="22"/>
    </row>
    <row r="321" spans="38:38" x14ac:dyDescent="0.2">
      <c r="AL321" s="22"/>
    </row>
    <row r="322" spans="38:38" x14ac:dyDescent="0.2">
      <c r="AL322" s="22"/>
    </row>
    <row r="323" spans="38:38" x14ac:dyDescent="0.2">
      <c r="AL323" s="22"/>
    </row>
    <row r="324" spans="38:38" x14ac:dyDescent="0.2">
      <c r="AL324" s="22"/>
    </row>
    <row r="325" spans="38:38" x14ac:dyDescent="0.2">
      <c r="AL325" s="22"/>
    </row>
    <row r="326" spans="38:38" x14ac:dyDescent="0.2">
      <c r="AL326" s="22"/>
    </row>
    <row r="327" spans="38:38" x14ac:dyDescent="0.2">
      <c r="AL327" s="22"/>
    </row>
    <row r="328" spans="38:38" x14ac:dyDescent="0.2">
      <c r="AL328" s="22"/>
    </row>
    <row r="329" spans="38:38" x14ac:dyDescent="0.2">
      <c r="AL329" s="22"/>
    </row>
    <row r="330" spans="38:38" x14ac:dyDescent="0.2">
      <c r="AL330" s="22"/>
    </row>
    <row r="331" spans="38:38" x14ac:dyDescent="0.2">
      <c r="AL331" s="22"/>
    </row>
    <row r="332" spans="38:38" x14ac:dyDescent="0.2">
      <c r="AL332" s="22"/>
    </row>
    <row r="333" spans="38:38" x14ac:dyDescent="0.2">
      <c r="AL333" s="22"/>
    </row>
    <row r="334" spans="38:38" x14ac:dyDescent="0.2">
      <c r="AL334" s="22"/>
    </row>
    <row r="335" spans="38:38" x14ac:dyDescent="0.2">
      <c r="AL335" s="22"/>
    </row>
    <row r="336" spans="38:38" x14ac:dyDescent="0.2">
      <c r="AL336" s="22"/>
    </row>
    <row r="337" spans="38:38" x14ac:dyDescent="0.2">
      <c r="AL337" s="22"/>
    </row>
    <row r="338" spans="38:38" x14ac:dyDescent="0.2">
      <c r="AL338" s="22"/>
    </row>
    <row r="339" spans="38:38" x14ac:dyDescent="0.2">
      <c r="AL339" s="22"/>
    </row>
    <row r="340" spans="38:38" x14ac:dyDescent="0.2">
      <c r="AL340" s="22"/>
    </row>
    <row r="341" spans="38:38" x14ac:dyDescent="0.2">
      <c r="AL341" s="22"/>
    </row>
    <row r="342" spans="38:38" x14ac:dyDescent="0.2">
      <c r="AL342" s="22"/>
    </row>
    <row r="343" spans="38:38" x14ac:dyDescent="0.2">
      <c r="AL343" s="22"/>
    </row>
    <row r="344" spans="38:38" x14ac:dyDescent="0.2">
      <c r="AL344" s="22"/>
    </row>
    <row r="345" spans="38:38" x14ac:dyDescent="0.2">
      <c r="AL345" s="22"/>
    </row>
    <row r="346" spans="38:38" x14ac:dyDescent="0.2">
      <c r="AL346" s="22"/>
    </row>
    <row r="347" spans="38:38" x14ac:dyDescent="0.2">
      <c r="AL347" s="22"/>
    </row>
    <row r="348" spans="38:38" x14ac:dyDescent="0.2">
      <c r="AL348" s="22"/>
    </row>
    <row r="349" spans="38:38" x14ac:dyDescent="0.2">
      <c r="AL349" s="22"/>
    </row>
    <row r="350" spans="38:38" x14ac:dyDescent="0.2">
      <c r="AL350" s="22"/>
    </row>
    <row r="351" spans="38:38" x14ac:dyDescent="0.2">
      <c r="AL351" s="22"/>
    </row>
    <row r="352" spans="38:38" x14ac:dyDescent="0.2">
      <c r="AL352" s="22"/>
    </row>
    <row r="353" spans="38:38" x14ac:dyDescent="0.2">
      <c r="AL353" s="22"/>
    </row>
    <row r="354" spans="38:38" x14ac:dyDescent="0.2">
      <c r="AL354" s="22"/>
    </row>
    <row r="355" spans="38:38" x14ac:dyDescent="0.2">
      <c r="AL355" s="22"/>
    </row>
    <row r="356" spans="38:38" x14ac:dyDescent="0.2">
      <c r="AL356" s="22"/>
    </row>
    <row r="357" spans="38:38" x14ac:dyDescent="0.2">
      <c r="AL357" s="22"/>
    </row>
    <row r="358" spans="38:38" x14ac:dyDescent="0.2">
      <c r="AL358" s="22"/>
    </row>
    <row r="359" spans="38:38" x14ac:dyDescent="0.2">
      <c r="AL359" s="22"/>
    </row>
    <row r="360" spans="38:38" x14ac:dyDescent="0.2">
      <c r="AL360" s="22"/>
    </row>
    <row r="361" spans="38:38" x14ac:dyDescent="0.2">
      <c r="AL361" s="22"/>
    </row>
    <row r="362" spans="38:38" x14ac:dyDescent="0.2">
      <c r="AL362" s="22"/>
    </row>
    <row r="363" spans="38:38" x14ac:dyDescent="0.2">
      <c r="AL363" s="22"/>
    </row>
    <row r="364" spans="38:38" x14ac:dyDescent="0.2">
      <c r="AL364" s="22"/>
    </row>
    <row r="365" spans="38:38" x14ac:dyDescent="0.2">
      <c r="AL365" s="22"/>
    </row>
    <row r="366" spans="38:38" x14ac:dyDescent="0.2">
      <c r="AL366" s="22"/>
    </row>
    <row r="367" spans="38:38" x14ac:dyDescent="0.2">
      <c r="AL367" s="22"/>
    </row>
    <row r="368" spans="38:38" x14ac:dyDescent="0.2">
      <c r="AL368" s="22"/>
    </row>
    <row r="369" spans="38:38" x14ac:dyDescent="0.2">
      <c r="AL369" s="22"/>
    </row>
    <row r="370" spans="38:38" x14ac:dyDescent="0.2">
      <c r="AL370" s="22"/>
    </row>
    <row r="371" spans="38:38" x14ac:dyDescent="0.2">
      <c r="AL371" s="22"/>
    </row>
    <row r="372" spans="38:38" x14ac:dyDescent="0.2">
      <c r="AL372" s="22"/>
    </row>
    <row r="373" spans="38:38" x14ac:dyDescent="0.2">
      <c r="AL373" s="22"/>
    </row>
    <row r="374" spans="38:38" x14ac:dyDescent="0.2">
      <c r="AL374" s="22"/>
    </row>
    <row r="375" spans="38:38" x14ac:dyDescent="0.2">
      <c r="AL375" s="22"/>
    </row>
    <row r="376" spans="38:38" x14ac:dyDescent="0.2">
      <c r="AL376" s="22"/>
    </row>
    <row r="377" spans="38:38" x14ac:dyDescent="0.2">
      <c r="AL377" s="22"/>
    </row>
    <row r="378" spans="38:38" x14ac:dyDescent="0.2">
      <c r="AL378" s="22"/>
    </row>
    <row r="379" spans="38:38" x14ac:dyDescent="0.2">
      <c r="AL379" s="22"/>
    </row>
    <row r="380" spans="38:38" x14ac:dyDescent="0.2">
      <c r="AL380" s="22"/>
    </row>
    <row r="381" spans="38:38" x14ac:dyDescent="0.2">
      <c r="AL381" s="22"/>
    </row>
    <row r="382" spans="38:38" x14ac:dyDescent="0.2">
      <c r="AL382" s="22"/>
    </row>
    <row r="383" spans="38:38" x14ac:dyDescent="0.2">
      <c r="AL383" s="22"/>
    </row>
    <row r="384" spans="38:38" x14ac:dyDescent="0.2">
      <c r="AL384" s="22"/>
    </row>
    <row r="385" spans="38:38" x14ac:dyDescent="0.2">
      <c r="AL385" s="22"/>
    </row>
    <row r="386" spans="38:38" x14ac:dyDescent="0.2">
      <c r="AL386" s="22"/>
    </row>
    <row r="387" spans="38:38" x14ac:dyDescent="0.2">
      <c r="AL387" s="22"/>
    </row>
    <row r="388" spans="38:38" x14ac:dyDescent="0.2">
      <c r="AL388" s="22"/>
    </row>
    <row r="389" spans="38:38" x14ac:dyDescent="0.2">
      <c r="AL389" s="22"/>
    </row>
    <row r="390" spans="38:38" x14ac:dyDescent="0.2">
      <c r="AL390" s="22"/>
    </row>
    <row r="391" spans="38:38" x14ac:dyDescent="0.2">
      <c r="AL391" s="22"/>
    </row>
    <row r="392" spans="38:38" x14ac:dyDescent="0.2">
      <c r="AL392" s="22"/>
    </row>
    <row r="393" spans="38:38" x14ac:dyDescent="0.2">
      <c r="AL393" s="22"/>
    </row>
    <row r="394" spans="38:38" x14ac:dyDescent="0.2">
      <c r="AL394" s="22"/>
    </row>
    <row r="395" spans="38:38" x14ac:dyDescent="0.2">
      <c r="AL395" s="22"/>
    </row>
    <row r="396" spans="38:38" x14ac:dyDescent="0.2">
      <c r="AL396" s="22"/>
    </row>
    <row r="397" spans="38:38" x14ac:dyDescent="0.2">
      <c r="AL397" s="22"/>
    </row>
    <row r="398" spans="38:38" x14ac:dyDescent="0.2">
      <c r="AL398" s="22"/>
    </row>
    <row r="399" spans="38:38" x14ac:dyDescent="0.2">
      <c r="AL399" s="22"/>
    </row>
    <row r="400" spans="38:38" x14ac:dyDescent="0.2">
      <c r="AL400" s="22"/>
    </row>
    <row r="401" spans="38:38" x14ac:dyDescent="0.2">
      <c r="AL401" s="22"/>
    </row>
    <row r="402" spans="38:38" x14ac:dyDescent="0.2">
      <c r="AL402" s="22"/>
    </row>
    <row r="403" spans="38:38" x14ac:dyDescent="0.2">
      <c r="AL403" s="22"/>
    </row>
    <row r="404" spans="38:38" x14ac:dyDescent="0.2">
      <c r="AL404" s="22"/>
    </row>
    <row r="405" spans="38:38" x14ac:dyDescent="0.2">
      <c r="AL405" s="22"/>
    </row>
    <row r="406" spans="38:38" x14ac:dyDescent="0.2">
      <c r="AL406" s="22"/>
    </row>
    <row r="407" spans="38:38" x14ac:dyDescent="0.2">
      <c r="AL407" s="22"/>
    </row>
    <row r="408" spans="38:38" x14ac:dyDescent="0.2">
      <c r="AL408" s="22"/>
    </row>
    <row r="409" spans="38:38" x14ac:dyDescent="0.2">
      <c r="AL409" s="22"/>
    </row>
    <row r="410" spans="38:38" x14ac:dyDescent="0.2">
      <c r="AL410" s="22"/>
    </row>
    <row r="411" spans="38:38" x14ac:dyDescent="0.2">
      <c r="AL411" s="22"/>
    </row>
    <row r="412" spans="38:38" x14ac:dyDescent="0.2">
      <c r="AL412" s="22"/>
    </row>
    <row r="413" spans="38:38" x14ac:dyDescent="0.2">
      <c r="AL413" s="22"/>
    </row>
    <row r="414" spans="38:38" x14ac:dyDescent="0.2">
      <c r="AL414" s="22"/>
    </row>
    <row r="415" spans="38:38" x14ac:dyDescent="0.2">
      <c r="AL415" s="22"/>
    </row>
    <row r="416" spans="38:38" x14ac:dyDescent="0.2">
      <c r="AL416" s="22"/>
    </row>
    <row r="417" spans="38:38" x14ac:dyDescent="0.2">
      <c r="AL417" s="22"/>
    </row>
    <row r="418" spans="38:38" x14ac:dyDescent="0.2">
      <c r="AL418" s="22"/>
    </row>
    <row r="419" spans="38:38" x14ac:dyDescent="0.2">
      <c r="AL419" s="22"/>
    </row>
    <row r="420" spans="38:38" x14ac:dyDescent="0.2">
      <c r="AL420" s="22"/>
    </row>
    <row r="421" spans="38:38" x14ac:dyDescent="0.2">
      <c r="AL421" s="22"/>
    </row>
    <row r="422" spans="38:38" x14ac:dyDescent="0.2">
      <c r="AL422" s="22"/>
    </row>
    <row r="423" spans="38:38" x14ac:dyDescent="0.2">
      <c r="AL423" s="22"/>
    </row>
    <row r="424" spans="38:38" x14ac:dyDescent="0.2">
      <c r="AL424" s="22"/>
    </row>
    <row r="425" spans="38:38" x14ac:dyDescent="0.2">
      <c r="AL425" s="22"/>
    </row>
    <row r="426" spans="38:38" x14ac:dyDescent="0.2">
      <c r="AL426" s="22"/>
    </row>
    <row r="427" spans="38:38" x14ac:dyDescent="0.2">
      <c r="AL427" s="22"/>
    </row>
    <row r="428" spans="38:38" x14ac:dyDescent="0.2">
      <c r="AL428" s="22"/>
    </row>
    <row r="429" spans="38:38" x14ac:dyDescent="0.2">
      <c r="AL429" s="22"/>
    </row>
    <row r="430" spans="38:38" x14ac:dyDescent="0.2">
      <c r="AL430" s="22"/>
    </row>
    <row r="431" spans="38:38" x14ac:dyDescent="0.2">
      <c r="AL431" s="22"/>
    </row>
    <row r="432" spans="38:38" x14ac:dyDescent="0.2">
      <c r="AL432" s="22"/>
    </row>
    <row r="433" spans="38:38" x14ac:dyDescent="0.2">
      <c r="AL433" s="22"/>
    </row>
    <row r="434" spans="38:38" x14ac:dyDescent="0.2">
      <c r="AL434" s="22"/>
    </row>
    <row r="435" spans="38:38" x14ac:dyDescent="0.2">
      <c r="AL435" s="22"/>
    </row>
    <row r="436" spans="38:38" x14ac:dyDescent="0.2">
      <c r="AL436" s="22"/>
    </row>
    <row r="437" spans="38:38" x14ac:dyDescent="0.2">
      <c r="AL437" s="22"/>
    </row>
    <row r="438" spans="38:38" x14ac:dyDescent="0.2">
      <c r="AL438" s="22"/>
    </row>
    <row r="439" spans="38:38" x14ac:dyDescent="0.2">
      <c r="AL439" s="22"/>
    </row>
    <row r="440" spans="38:38" x14ac:dyDescent="0.2">
      <c r="AL440" s="22"/>
    </row>
    <row r="441" spans="38:38" x14ac:dyDescent="0.2">
      <c r="AL441" s="22"/>
    </row>
    <row r="442" spans="38:38" x14ac:dyDescent="0.2">
      <c r="AL442" s="22"/>
    </row>
    <row r="443" spans="38:38" x14ac:dyDescent="0.2">
      <c r="AL443" s="22"/>
    </row>
    <row r="444" spans="38:38" x14ac:dyDescent="0.2">
      <c r="AL444" s="22"/>
    </row>
    <row r="445" spans="38:38" x14ac:dyDescent="0.2">
      <c r="AL445" s="22"/>
    </row>
    <row r="446" spans="38:38" x14ac:dyDescent="0.2">
      <c r="AL446" s="22"/>
    </row>
    <row r="447" spans="38:38" x14ac:dyDescent="0.2">
      <c r="AL447" s="22"/>
    </row>
    <row r="448" spans="38:38" x14ac:dyDescent="0.2">
      <c r="AL448" s="22"/>
    </row>
    <row r="449" spans="38:38" x14ac:dyDescent="0.2">
      <c r="AL449" s="22"/>
    </row>
    <row r="450" spans="38:38" x14ac:dyDescent="0.2">
      <c r="AL450" s="22"/>
    </row>
    <row r="451" spans="38:38" x14ac:dyDescent="0.2">
      <c r="AL451" s="22"/>
    </row>
    <row r="452" spans="38:38" x14ac:dyDescent="0.2">
      <c r="AL452" s="22"/>
    </row>
    <row r="453" spans="38:38" x14ac:dyDescent="0.2">
      <c r="AL453" s="22"/>
    </row>
    <row r="454" spans="38:38" x14ac:dyDescent="0.2">
      <c r="AL454" s="22"/>
    </row>
    <row r="455" spans="38:38" x14ac:dyDescent="0.2">
      <c r="AL455" s="22"/>
    </row>
    <row r="456" spans="38:38" x14ac:dyDescent="0.2">
      <c r="AL456" s="22"/>
    </row>
    <row r="457" spans="38:38" x14ac:dyDescent="0.2">
      <c r="AL457" s="22"/>
    </row>
    <row r="458" spans="38:38" x14ac:dyDescent="0.2">
      <c r="AL458" s="22"/>
    </row>
    <row r="459" spans="38:38" x14ac:dyDescent="0.2">
      <c r="AL459" s="22"/>
    </row>
    <row r="460" spans="38:38" x14ac:dyDescent="0.2">
      <c r="AL460" s="22"/>
    </row>
    <row r="461" spans="38:38" x14ac:dyDescent="0.2">
      <c r="AL461" s="22"/>
    </row>
    <row r="462" spans="38:38" x14ac:dyDescent="0.2">
      <c r="AL462" s="22"/>
    </row>
    <row r="463" spans="38:38" x14ac:dyDescent="0.2">
      <c r="AL463" s="22"/>
    </row>
    <row r="464" spans="38:38" x14ac:dyDescent="0.2">
      <c r="AL464" s="22"/>
    </row>
    <row r="465" spans="38:38" x14ac:dyDescent="0.2">
      <c r="AL465" s="22"/>
    </row>
    <row r="466" spans="38:38" x14ac:dyDescent="0.2">
      <c r="AL466" s="22"/>
    </row>
    <row r="467" spans="38:38" x14ac:dyDescent="0.2">
      <c r="AL467" s="22"/>
    </row>
    <row r="468" spans="38:38" x14ac:dyDescent="0.2">
      <c r="AL468" s="22"/>
    </row>
    <row r="469" spans="38:38" x14ac:dyDescent="0.2">
      <c r="AL469" s="22"/>
    </row>
    <row r="470" spans="38:38" x14ac:dyDescent="0.2">
      <c r="AL470" s="22"/>
    </row>
    <row r="471" spans="38:38" x14ac:dyDescent="0.2">
      <c r="AL471" s="22"/>
    </row>
    <row r="472" spans="38:38" x14ac:dyDescent="0.2">
      <c r="AL472" s="22"/>
    </row>
    <row r="473" spans="38:38" x14ac:dyDescent="0.2">
      <c r="AL473" s="22"/>
    </row>
    <row r="474" spans="38:38" x14ac:dyDescent="0.2">
      <c r="AL474" s="22"/>
    </row>
    <row r="475" spans="38:38" x14ac:dyDescent="0.2">
      <c r="AL475" s="22"/>
    </row>
    <row r="476" spans="38:38" x14ac:dyDescent="0.2">
      <c r="AL476" s="22"/>
    </row>
    <row r="477" spans="38:38" x14ac:dyDescent="0.2">
      <c r="AL477" s="22"/>
    </row>
    <row r="478" spans="38:38" x14ac:dyDescent="0.2">
      <c r="AL478" s="22"/>
    </row>
    <row r="479" spans="38:38" x14ac:dyDescent="0.2">
      <c r="AL479" s="22"/>
    </row>
    <row r="480" spans="38:38" x14ac:dyDescent="0.2">
      <c r="AL480" s="22"/>
    </row>
    <row r="481" spans="38:38" x14ac:dyDescent="0.2">
      <c r="AL481" s="22"/>
    </row>
    <row r="482" spans="38:38" x14ac:dyDescent="0.2">
      <c r="AL482" s="22"/>
    </row>
    <row r="483" spans="38:38" x14ac:dyDescent="0.2">
      <c r="AL483" s="22"/>
    </row>
    <row r="484" spans="38:38" x14ac:dyDescent="0.2">
      <c r="AL484" s="22"/>
    </row>
    <row r="485" spans="38:38" x14ac:dyDescent="0.2">
      <c r="AL485" s="22"/>
    </row>
    <row r="486" spans="38:38" x14ac:dyDescent="0.2">
      <c r="AL486" s="22"/>
    </row>
    <row r="487" spans="38:38" x14ac:dyDescent="0.2">
      <c r="AL487" s="22"/>
    </row>
    <row r="488" spans="38:38" x14ac:dyDescent="0.2">
      <c r="AL488" s="22"/>
    </row>
    <row r="489" spans="38:38" x14ac:dyDescent="0.2">
      <c r="AL489" s="22"/>
    </row>
    <row r="490" spans="38:38" x14ac:dyDescent="0.2">
      <c r="AL490" s="22"/>
    </row>
    <row r="491" spans="38:38" x14ac:dyDescent="0.2">
      <c r="AL491" s="22"/>
    </row>
    <row r="492" spans="38:38" x14ac:dyDescent="0.2">
      <c r="AL492" s="22"/>
    </row>
    <row r="493" spans="38:38" x14ac:dyDescent="0.2">
      <c r="AL493" s="22"/>
    </row>
    <row r="494" spans="38:38" x14ac:dyDescent="0.2">
      <c r="AL494" s="22"/>
    </row>
    <row r="495" spans="38:38" x14ac:dyDescent="0.2">
      <c r="AL495" s="22"/>
    </row>
    <row r="496" spans="38:38" x14ac:dyDescent="0.2">
      <c r="AL496" s="22"/>
    </row>
    <row r="497" spans="38:38" x14ac:dyDescent="0.2">
      <c r="AL497" s="22"/>
    </row>
    <row r="498" spans="38:38" x14ac:dyDescent="0.2">
      <c r="AL498" s="22"/>
    </row>
    <row r="499" spans="38:38" x14ac:dyDescent="0.2">
      <c r="AL499" s="22"/>
    </row>
    <row r="500" spans="38:38" x14ac:dyDescent="0.2">
      <c r="AL500" s="22"/>
    </row>
    <row r="501" spans="38:38" x14ac:dyDescent="0.2">
      <c r="AL501" s="22"/>
    </row>
    <row r="502" spans="38:38" x14ac:dyDescent="0.2">
      <c r="AL502" s="22"/>
    </row>
    <row r="503" spans="38:38" x14ac:dyDescent="0.2">
      <c r="AL503" s="22"/>
    </row>
    <row r="504" spans="38:38" x14ac:dyDescent="0.2">
      <c r="AL504" s="22"/>
    </row>
    <row r="505" spans="38:38" x14ac:dyDescent="0.2">
      <c r="AL505" s="22"/>
    </row>
    <row r="506" spans="38:38" x14ac:dyDescent="0.2">
      <c r="AL506" s="22"/>
    </row>
    <row r="507" spans="38:38" x14ac:dyDescent="0.2">
      <c r="AL507" s="22"/>
    </row>
    <row r="508" spans="38:38" x14ac:dyDescent="0.2">
      <c r="AL508" s="22"/>
    </row>
    <row r="509" spans="38:38" x14ac:dyDescent="0.2">
      <c r="AL509" s="22"/>
    </row>
    <row r="510" spans="38:38" x14ac:dyDescent="0.2">
      <c r="AL510" s="22"/>
    </row>
    <row r="511" spans="38:38" x14ac:dyDescent="0.2">
      <c r="AL511" s="22"/>
    </row>
    <row r="512" spans="38:38" x14ac:dyDescent="0.2">
      <c r="AL512" s="22"/>
    </row>
    <row r="513" spans="38:38" x14ac:dyDescent="0.2">
      <c r="AL513" s="22"/>
    </row>
    <row r="514" spans="38:38" x14ac:dyDescent="0.2">
      <c r="AL514" s="22"/>
    </row>
    <row r="515" spans="38:38" x14ac:dyDescent="0.2">
      <c r="AL515" s="22"/>
    </row>
    <row r="516" spans="38:38" x14ac:dyDescent="0.2">
      <c r="AL516" s="22"/>
    </row>
    <row r="517" spans="38:38" x14ac:dyDescent="0.2">
      <c r="AL517" s="22"/>
    </row>
    <row r="518" spans="38:38" x14ac:dyDescent="0.2">
      <c r="AL518" s="22"/>
    </row>
    <row r="519" spans="38:38" x14ac:dyDescent="0.2">
      <c r="AL519" s="22"/>
    </row>
    <row r="520" spans="38:38" x14ac:dyDescent="0.2">
      <c r="AL520" s="22"/>
    </row>
    <row r="521" spans="38:38" x14ac:dyDescent="0.2">
      <c r="AL521" s="22"/>
    </row>
    <row r="522" spans="38:38" x14ac:dyDescent="0.2">
      <c r="AL522" s="22"/>
    </row>
    <row r="523" spans="38:38" x14ac:dyDescent="0.2">
      <c r="AL523" s="22"/>
    </row>
    <row r="524" spans="38:38" x14ac:dyDescent="0.2">
      <c r="AL524" s="22"/>
    </row>
    <row r="525" spans="38:38" x14ac:dyDescent="0.2">
      <c r="AL525" s="22"/>
    </row>
    <row r="526" spans="38:38" x14ac:dyDescent="0.2">
      <c r="AL526" s="22"/>
    </row>
    <row r="527" spans="38:38" x14ac:dyDescent="0.2">
      <c r="AL527" s="22"/>
    </row>
    <row r="528" spans="38:38" x14ac:dyDescent="0.2">
      <c r="AL528" s="22"/>
    </row>
    <row r="529" spans="38:38" x14ac:dyDescent="0.2">
      <c r="AL529" s="22"/>
    </row>
    <row r="530" spans="38:38" x14ac:dyDescent="0.2">
      <c r="AL530" s="22"/>
    </row>
    <row r="531" spans="38:38" x14ac:dyDescent="0.2">
      <c r="AL531" s="22"/>
    </row>
    <row r="532" spans="38:38" x14ac:dyDescent="0.2">
      <c r="AL532" s="22"/>
    </row>
    <row r="533" spans="38:38" x14ac:dyDescent="0.2">
      <c r="AL533" s="22"/>
    </row>
    <row r="534" spans="38:38" x14ac:dyDescent="0.2">
      <c r="AL534" s="22"/>
    </row>
    <row r="535" spans="38:38" x14ac:dyDescent="0.2">
      <c r="AL535" s="22"/>
    </row>
    <row r="536" spans="38:38" x14ac:dyDescent="0.2">
      <c r="AL536" s="22"/>
    </row>
    <row r="537" spans="38:38" x14ac:dyDescent="0.2">
      <c r="AL537" s="22"/>
    </row>
    <row r="538" spans="38:38" x14ac:dyDescent="0.2">
      <c r="AL538" s="22"/>
    </row>
    <row r="539" spans="38:38" x14ac:dyDescent="0.2">
      <c r="AL539" s="22"/>
    </row>
    <row r="540" spans="38:38" x14ac:dyDescent="0.2">
      <c r="AL540" s="22"/>
    </row>
    <row r="541" spans="38:38" x14ac:dyDescent="0.2">
      <c r="AL541" s="22"/>
    </row>
    <row r="542" spans="38:38" x14ac:dyDescent="0.2">
      <c r="AL542" s="22"/>
    </row>
    <row r="543" spans="38:38" x14ac:dyDescent="0.2">
      <c r="AL543" s="22"/>
    </row>
    <row r="544" spans="38:38" x14ac:dyDescent="0.2">
      <c r="AL544" s="22"/>
    </row>
    <row r="545" spans="38:38" x14ac:dyDescent="0.2">
      <c r="AL545" s="22"/>
    </row>
    <row r="546" spans="38:38" x14ac:dyDescent="0.2">
      <c r="AL546" s="22"/>
    </row>
    <row r="547" spans="38:38" x14ac:dyDescent="0.2">
      <c r="AL547" s="22"/>
    </row>
    <row r="548" spans="38:38" x14ac:dyDescent="0.2">
      <c r="AL548" s="22"/>
    </row>
    <row r="549" spans="38:38" x14ac:dyDescent="0.2">
      <c r="AL549" s="22"/>
    </row>
    <row r="550" spans="38:38" x14ac:dyDescent="0.2">
      <c r="AL550" s="22"/>
    </row>
    <row r="551" spans="38:38" x14ac:dyDescent="0.2">
      <c r="AL551" s="22"/>
    </row>
    <row r="552" spans="38:38" x14ac:dyDescent="0.2">
      <c r="AL552" s="22"/>
    </row>
    <row r="553" spans="38:38" x14ac:dyDescent="0.2">
      <c r="AL553" s="22"/>
    </row>
    <row r="554" spans="38:38" x14ac:dyDescent="0.2">
      <c r="AL554" s="22"/>
    </row>
    <row r="555" spans="38:38" x14ac:dyDescent="0.2">
      <c r="AL555" s="22"/>
    </row>
    <row r="556" spans="38:38" x14ac:dyDescent="0.2">
      <c r="AL556" s="22"/>
    </row>
    <row r="557" spans="38:38" x14ac:dyDescent="0.2">
      <c r="AL557" s="22"/>
    </row>
    <row r="558" spans="38:38" x14ac:dyDescent="0.2">
      <c r="AL558" s="22"/>
    </row>
    <row r="559" spans="38:38" x14ac:dyDescent="0.2">
      <c r="AL559" s="22"/>
    </row>
    <row r="560" spans="38:38" x14ac:dyDescent="0.2">
      <c r="AL560" s="22"/>
    </row>
    <row r="561" spans="38:38" x14ac:dyDescent="0.2">
      <c r="AL561" s="22"/>
    </row>
    <row r="562" spans="38:38" x14ac:dyDescent="0.2">
      <c r="AL562" s="22"/>
    </row>
    <row r="563" spans="38:38" x14ac:dyDescent="0.2">
      <c r="AL563" s="22"/>
    </row>
    <row r="564" spans="38:38" x14ac:dyDescent="0.2">
      <c r="AL564" s="22"/>
    </row>
    <row r="565" spans="38:38" x14ac:dyDescent="0.2">
      <c r="AL565" s="22"/>
    </row>
    <row r="566" spans="38:38" x14ac:dyDescent="0.2">
      <c r="AL566" s="22"/>
    </row>
    <row r="567" spans="38:38" x14ac:dyDescent="0.2">
      <c r="AL567" s="22"/>
    </row>
    <row r="568" spans="38:38" x14ac:dyDescent="0.2">
      <c r="AL568" s="22"/>
    </row>
    <row r="569" spans="38:38" x14ac:dyDescent="0.2">
      <c r="AL569" s="22"/>
    </row>
    <row r="570" spans="38:38" x14ac:dyDescent="0.2">
      <c r="AL570" s="22"/>
    </row>
    <row r="571" spans="38:38" x14ac:dyDescent="0.2">
      <c r="AL571" s="22"/>
    </row>
    <row r="572" spans="38:38" x14ac:dyDescent="0.2">
      <c r="AL572" s="22"/>
    </row>
    <row r="573" spans="38:38" x14ac:dyDescent="0.2">
      <c r="AL573" s="22"/>
    </row>
    <row r="574" spans="38:38" x14ac:dyDescent="0.2">
      <c r="AL574" s="22"/>
    </row>
    <row r="575" spans="38:38" x14ac:dyDescent="0.2">
      <c r="AL575" s="22"/>
    </row>
    <row r="576" spans="38:38" x14ac:dyDescent="0.2">
      <c r="AL576" s="22"/>
    </row>
    <row r="577" spans="38:38" x14ac:dyDescent="0.2">
      <c r="AL577" s="22"/>
    </row>
    <row r="578" spans="38:38" x14ac:dyDescent="0.2">
      <c r="AL578" s="22"/>
    </row>
    <row r="579" spans="38:38" x14ac:dyDescent="0.2">
      <c r="AL579" s="22"/>
    </row>
    <row r="580" spans="38:38" x14ac:dyDescent="0.2">
      <c r="AL580" s="22"/>
    </row>
    <row r="581" spans="38:38" x14ac:dyDescent="0.2">
      <c r="AL581" s="22"/>
    </row>
    <row r="582" spans="38:38" x14ac:dyDescent="0.2">
      <c r="AL582" s="22"/>
    </row>
    <row r="583" spans="38:38" x14ac:dyDescent="0.2">
      <c r="AL583" s="22"/>
    </row>
    <row r="584" spans="38:38" x14ac:dyDescent="0.2">
      <c r="AL584" s="22"/>
    </row>
    <row r="585" spans="38:38" x14ac:dyDescent="0.2">
      <c r="AL585" s="22"/>
    </row>
    <row r="586" spans="38:38" x14ac:dyDescent="0.2">
      <c r="AL586" s="22"/>
    </row>
    <row r="587" spans="38:38" x14ac:dyDescent="0.2">
      <c r="AL587" s="22"/>
    </row>
    <row r="588" spans="38:38" x14ac:dyDescent="0.2">
      <c r="AL588" s="22"/>
    </row>
    <row r="589" spans="38:38" x14ac:dyDescent="0.2">
      <c r="AL589" s="22"/>
    </row>
    <row r="590" spans="38:38" x14ac:dyDescent="0.2">
      <c r="AL590" s="22"/>
    </row>
    <row r="591" spans="38:38" x14ac:dyDescent="0.2">
      <c r="AL591" s="22"/>
    </row>
    <row r="592" spans="38:38" x14ac:dyDescent="0.2">
      <c r="AL592" s="22"/>
    </row>
    <row r="593" spans="38:38" x14ac:dyDescent="0.2">
      <c r="AL593" s="22"/>
    </row>
    <row r="594" spans="38:38" x14ac:dyDescent="0.2">
      <c r="AL594" s="22"/>
    </row>
    <row r="595" spans="38:38" x14ac:dyDescent="0.2">
      <c r="AL595" s="22"/>
    </row>
    <row r="596" spans="38:38" x14ac:dyDescent="0.2">
      <c r="AL596" s="22"/>
    </row>
    <row r="597" spans="38:38" x14ac:dyDescent="0.2">
      <c r="AL597" s="22"/>
    </row>
    <row r="598" spans="38:38" x14ac:dyDescent="0.2">
      <c r="AL598" s="22"/>
    </row>
    <row r="599" spans="38:38" x14ac:dyDescent="0.2">
      <c r="AL599" s="22"/>
    </row>
    <row r="600" spans="38:38" x14ac:dyDescent="0.2">
      <c r="AL600" s="22"/>
    </row>
    <row r="601" spans="38:38" x14ac:dyDescent="0.2">
      <c r="AL601" s="22"/>
    </row>
    <row r="602" spans="38:38" x14ac:dyDescent="0.2">
      <c r="AL602" s="22"/>
    </row>
    <row r="603" spans="38:38" x14ac:dyDescent="0.2">
      <c r="AL603" s="22"/>
    </row>
    <row r="604" spans="38:38" x14ac:dyDescent="0.2">
      <c r="AL604" s="22"/>
    </row>
    <row r="605" spans="38:38" x14ac:dyDescent="0.2">
      <c r="AL605" s="22"/>
    </row>
    <row r="606" spans="38:38" x14ac:dyDescent="0.2">
      <c r="AL606" s="22"/>
    </row>
    <row r="607" spans="38:38" x14ac:dyDescent="0.2">
      <c r="AL607" s="22"/>
    </row>
    <row r="608" spans="38:38" x14ac:dyDescent="0.2">
      <c r="AL608" s="22"/>
    </row>
    <row r="609" spans="38:38" x14ac:dyDescent="0.2">
      <c r="AL609" s="22"/>
    </row>
    <row r="610" spans="38:38" x14ac:dyDescent="0.2">
      <c r="AL610" s="22"/>
    </row>
    <row r="611" spans="38:38" x14ac:dyDescent="0.2">
      <c r="AL611" s="22"/>
    </row>
    <row r="612" spans="38:38" x14ac:dyDescent="0.2">
      <c r="AL612" s="22"/>
    </row>
    <row r="613" spans="38:38" x14ac:dyDescent="0.2">
      <c r="AL613" s="22"/>
    </row>
    <row r="614" spans="38:38" x14ac:dyDescent="0.2">
      <c r="AL614" s="22"/>
    </row>
    <row r="615" spans="38:38" x14ac:dyDescent="0.2">
      <c r="AL615" s="22"/>
    </row>
    <row r="616" spans="38:38" x14ac:dyDescent="0.2">
      <c r="AL616" s="22"/>
    </row>
    <row r="617" spans="38:38" x14ac:dyDescent="0.2">
      <c r="AL617" s="22"/>
    </row>
    <row r="618" spans="38:38" x14ac:dyDescent="0.2">
      <c r="AL618" s="22"/>
    </row>
    <row r="619" spans="38:38" x14ac:dyDescent="0.2">
      <c r="AL619" s="22"/>
    </row>
    <row r="620" spans="38:38" x14ac:dyDescent="0.2">
      <c r="AL620" s="22"/>
    </row>
    <row r="621" spans="38:38" x14ac:dyDescent="0.2">
      <c r="AL621" s="22"/>
    </row>
    <row r="622" spans="38:38" x14ac:dyDescent="0.2">
      <c r="AL622" s="22"/>
    </row>
    <row r="623" spans="38:38" x14ac:dyDescent="0.2">
      <c r="AL623" s="22"/>
    </row>
    <row r="624" spans="38:38" x14ac:dyDescent="0.2">
      <c r="AL624" s="22"/>
    </row>
    <row r="625" spans="38:38" x14ac:dyDescent="0.2">
      <c r="AL625" s="22"/>
    </row>
    <row r="626" spans="38:38" x14ac:dyDescent="0.2">
      <c r="AL626" s="22"/>
    </row>
    <row r="627" spans="38:38" x14ac:dyDescent="0.2">
      <c r="AL627" s="22"/>
    </row>
    <row r="628" spans="38:38" x14ac:dyDescent="0.2">
      <c r="AL628" s="22"/>
    </row>
    <row r="629" spans="38:38" x14ac:dyDescent="0.2">
      <c r="AL629" s="22"/>
    </row>
    <row r="630" spans="38:38" x14ac:dyDescent="0.2">
      <c r="AL630" s="22"/>
    </row>
    <row r="631" spans="38:38" x14ac:dyDescent="0.2">
      <c r="AL631" s="22"/>
    </row>
    <row r="632" spans="38:38" x14ac:dyDescent="0.2">
      <c r="AL632" s="22"/>
    </row>
    <row r="633" spans="38:38" x14ac:dyDescent="0.2">
      <c r="AL633" s="22"/>
    </row>
    <row r="634" spans="38:38" x14ac:dyDescent="0.2">
      <c r="AL634" s="22"/>
    </row>
    <row r="635" spans="38:38" x14ac:dyDescent="0.2">
      <c r="AL635" s="22"/>
    </row>
    <row r="636" spans="38:38" x14ac:dyDescent="0.2">
      <c r="AL636" s="22"/>
    </row>
    <row r="637" spans="38:38" x14ac:dyDescent="0.2">
      <c r="AL637" s="22"/>
    </row>
    <row r="638" spans="38:38" x14ac:dyDescent="0.2">
      <c r="AL638" s="22"/>
    </row>
    <row r="639" spans="38:38" x14ac:dyDescent="0.2">
      <c r="AL639" s="22"/>
    </row>
    <row r="640" spans="38:38" x14ac:dyDescent="0.2">
      <c r="AL640" s="22"/>
    </row>
    <row r="641" spans="38:38" x14ac:dyDescent="0.2">
      <c r="AL641" s="22"/>
    </row>
    <row r="642" spans="38:38" x14ac:dyDescent="0.2">
      <c r="AL642" s="22"/>
    </row>
    <row r="643" spans="38:38" x14ac:dyDescent="0.2">
      <c r="AL643" s="22"/>
    </row>
    <row r="644" spans="38:38" x14ac:dyDescent="0.2">
      <c r="AL644" s="22"/>
    </row>
    <row r="645" spans="38:38" x14ac:dyDescent="0.2">
      <c r="AL645" s="22"/>
    </row>
    <row r="646" spans="38:38" x14ac:dyDescent="0.2">
      <c r="AL646" s="22"/>
    </row>
    <row r="647" spans="38:38" x14ac:dyDescent="0.2">
      <c r="AL647" s="22"/>
    </row>
    <row r="648" spans="38:38" x14ac:dyDescent="0.2">
      <c r="AL648" s="22"/>
    </row>
    <row r="649" spans="38:38" x14ac:dyDescent="0.2">
      <c r="AL649" s="22"/>
    </row>
    <row r="650" spans="38:38" x14ac:dyDescent="0.2">
      <c r="AL650" s="22"/>
    </row>
    <row r="651" spans="38:38" x14ac:dyDescent="0.2">
      <c r="AL651" s="22"/>
    </row>
    <row r="652" spans="38:38" x14ac:dyDescent="0.2">
      <c r="AL652" s="22"/>
    </row>
    <row r="653" spans="38:38" x14ac:dyDescent="0.2">
      <c r="AL653" s="22"/>
    </row>
    <row r="654" spans="38:38" x14ac:dyDescent="0.2">
      <c r="AL654" s="22"/>
    </row>
    <row r="655" spans="38:38" x14ac:dyDescent="0.2">
      <c r="AL655" s="22"/>
    </row>
    <row r="656" spans="38:38" x14ac:dyDescent="0.2">
      <c r="AL656" s="22"/>
    </row>
    <row r="657" spans="38:38" x14ac:dyDescent="0.2">
      <c r="AL657" s="22"/>
    </row>
    <row r="658" spans="38:38" x14ac:dyDescent="0.2">
      <c r="AL658" s="22"/>
    </row>
    <row r="659" spans="38:38" x14ac:dyDescent="0.2">
      <c r="AL659" s="22"/>
    </row>
    <row r="660" spans="38:38" x14ac:dyDescent="0.2">
      <c r="AL660" s="22"/>
    </row>
    <row r="661" spans="38:38" x14ac:dyDescent="0.2">
      <c r="AL661" s="22"/>
    </row>
    <row r="662" spans="38:38" x14ac:dyDescent="0.2">
      <c r="AL662" s="22"/>
    </row>
    <row r="663" spans="38:38" x14ac:dyDescent="0.2">
      <c r="AL663" s="22"/>
    </row>
    <row r="664" spans="38:38" x14ac:dyDescent="0.2">
      <c r="AL664" s="22"/>
    </row>
    <row r="665" spans="38:38" x14ac:dyDescent="0.2">
      <c r="AL665" s="22"/>
    </row>
    <row r="666" spans="38:38" x14ac:dyDescent="0.2">
      <c r="AL666" s="22"/>
    </row>
    <row r="667" spans="38:38" x14ac:dyDescent="0.2">
      <c r="AL667" s="22"/>
    </row>
    <row r="668" spans="38:38" x14ac:dyDescent="0.2">
      <c r="AL668" s="22"/>
    </row>
    <row r="669" spans="38:38" x14ac:dyDescent="0.2">
      <c r="AL669" s="22"/>
    </row>
    <row r="670" spans="38:38" x14ac:dyDescent="0.2">
      <c r="AL670" s="22"/>
    </row>
    <row r="671" spans="38:38" x14ac:dyDescent="0.2">
      <c r="AL671" s="22"/>
    </row>
    <row r="672" spans="38:38" x14ac:dyDescent="0.2">
      <c r="AL672" s="22"/>
    </row>
    <row r="673" spans="38:38" x14ac:dyDescent="0.2">
      <c r="AL673" s="22"/>
    </row>
    <row r="674" spans="38:38" x14ac:dyDescent="0.2">
      <c r="AL674" s="22"/>
    </row>
    <row r="675" spans="38:38" x14ac:dyDescent="0.2">
      <c r="AL675" s="22"/>
    </row>
    <row r="676" spans="38:38" x14ac:dyDescent="0.2">
      <c r="AL676" s="22"/>
    </row>
    <row r="677" spans="38:38" x14ac:dyDescent="0.2">
      <c r="AL677" s="22"/>
    </row>
    <row r="678" spans="38:38" x14ac:dyDescent="0.2">
      <c r="AL678" s="22"/>
    </row>
    <row r="679" spans="38:38" x14ac:dyDescent="0.2">
      <c r="AL679" s="22"/>
    </row>
    <row r="680" spans="38:38" x14ac:dyDescent="0.2">
      <c r="AL680" s="22"/>
    </row>
    <row r="681" spans="38:38" x14ac:dyDescent="0.2">
      <c r="AL681" s="22"/>
    </row>
    <row r="682" spans="38:38" x14ac:dyDescent="0.2">
      <c r="AL682" s="22"/>
    </row>
    <row r="683" spans="38:38" x14ac:dyDescent="0.2">
      <c r="AL683" s="22"/>
    </row>
    <row r="684" spans="38:38" x14ac:dyDescent="0.2">
      <c r="AL684" s="22"/>
    </row>
    <row r="685" spans="38:38" x14ac:dyDescent="0.2">
      <c r="AL685" s="22"/>
    </row>
    <row r="686" spans="38:38" x14ac:dyDescent="0.2">
      <c r="AL686" s="22"/>
    </row>
    <row r="687" spans="38:38" x14ac:dyDescent="0.2">
      <c r="AL687" s="22"/>
    </row>
    <row r="688" spans="38:38" x14ac:dyDescent="0.2">
      <c r="AL688" s="22"/>
    </row>
    <row r="689" spans="38:38" x14ac:dyDescent="0.2">
      <c r="AL689" s="22"/>
    </row>
    <row r="690" spans="38:38" x14ac:dyDescent="0.2">
      <c r="AL690" s="22"/>
    </row>
    <row r="691" spans="38:38" x14ac:dyDescent="0.2">
      <c r="AL691" s="22"/>
    </row>
    <row r="692" spans="38:38" x14ac:dyDescent="0.2">
      <c r="AL692" s="22"/>
    </row>
    <row r="693" spans="38:38" x14ac:dyDescent="0.2">
      <c r="AL693" s="22"/>
    </row>
    <row r="694" spans="38:38" x14ac:dyDescent="0.2">
      <c r="AL694" s="22"/>
    </row>
    <row r="695" spans="38:38" x14ac:dyDescent="0.2">
      <c r="AL695" s="22"/>
    </row>
    <row r="696" spans="38:38" x14ac:dyDescent="0.2">
      <c r="AL696" s="22"/>
    </row>
    <row r="697" spans="38:38" x14ac:dyDescent="0.2">
      <c r="AL697" s="22"/>
    </row>
    <row r="698" spans="38:38" x14ac:dyDescent="0.2">
      <c r="AL698" s="22"/>
    </row>
    <row r="699" spans="38:38" x14ac:dyDescent="0.2">
      <c r="AL699" s="22"/>
    </row>
    <row r="700" spans="38:38" x14ac:dyDescent="0.2">
      <c r="AL700" s="22"/>
    </row>
    <row r="701" spans="38:38" x14ac:dyDescent="0.2">
      <c r="AL701" s="22"/>
    </row>
    <row r="702" spans="38:38" x14ac:dyDescent="0.2">
      <c r="AL702" s="22"/>
    </row>
    <row r="703" spans="38:38" x14ac:dyDescent="0.2">
      <c r="AL703" s="22"/>
    </row>
    <row r="704" spans="38:38" x14ac:dyDescent="0.2">
      <c r="AL704" s="22"/>
    </row>
    <row r="705" spans="38:38" x14ac:dyDescent="0.2">
      <c r="AL705" s="22"/>
    </row>
    <row r="706" spans="38:38" x14ac:dyDescent="0.2">
      <c r="AL706" s="22"/>
    </row>
    <row r="707" spans="38:38" x14ac:dyDescent="0.2">
      <c r="AL707" s="22"/>
    </row>
    <row r="708" spans="38:38" x14ac:dyDescent="0.2">
      <c r="AL708" s="22"/>
    </row>
    <row r="709" spans="38:38" x14ac:dyDescent="0.2">
      <c r="AL709" s="22"/>
    </row>
    <row r="710" spans="38:38" x14ac:dyDescent="0.2">
      <c r="AL710" s="22"/>
    </row>
    <row r="711" spans="38:38" x14ac:dyDescent="0.2">
      <c r="AL711" s="22"/>
    </row>
    <row r="712" spans="38:38" x14ac:dyDescent="0.2">
      <c r="AL712" s="22"/>
    </row>
    <row r="713" spans="38:38" x14ac:dyDescent="0.2">
      <c r="AL713" s="22"/>
    </row>
    <row r="714" spans="38:38" x14ac:dyDescent="0.2">
      <c r="AL714" s="22"/>
    </row>
    <row r="715" spans="38:38" x14ac:dyDescent="0.2">
      <c r="AL715" s="22"/>
    </row>
    <row r="716" spans="38:38" x14ac:dyDescent="0.2">
      <c r="AL716" s="22"/>
    </row>
    <row r="717" spans="38:38" x14ac:dyDescent="0.2">
      <c r="AL717" s="22"/>
    </row>
    <row r="718" spans="38:38" x14ac:dyDescent="0.2">
      <c r="AL718" s="22"/>
    </row>
    <row r="719" spans="38:38" x14ac:dyDescent="0.2">
      <c r="AL719" s="22"/>
    </row>
    <row r="720" spans="38:38" x14ac:dyDescent="0.2">
      <c r="AL720" s="22"/>
    </row>
    <row r="721" spans="38:38" x14ac:dyDescent="0.2">
      <c r="AL721" s="22"/>
    </row>
    <row r="722" spans="38:38" x14ac:dyDescent="0.2">
      <c r="AL722" s="22"/>
    </row>
    <row r="723" spans="38:38" x14ac:dyDescent="0.2">
      <c r="AL723" s="22"/>
    </row>
    <row r="724" spans="38:38" x14ac:dyDescent="0.2">
      <c r="AL724" s="22"/>
    </row>
    <row r="725" spans="38:38" x14ac:dyDescent="0.2">
      <c r="AL725" s="22"/>
    </row>
    <row r="726" spans="38:38" x14ac:dyDescent="0.2">
      <c r="AL726" s="22"/>
    </row>
    <row r="727" spans="38:38" x14ac:dyDescent="0.2">
      <c r="AL727" s="22"/>
    </row>
    <row r="728" spans="38:38" x14ac:dyDescent="0.2">
      <c r="AL728" s="22"/>
    </row>
    <row r="729" spans="38:38" x14ac:dyDescent="0.2">
      <c r="AL729" s="22"/>
    </row>
    <row r="730" spans="38:38" x14ac:dyDescent="0.2">
      <c r="AL730" s="22"/>
    </row>
    <row r="731" spans="38:38" x14ac:dyDescent="0.2">
      <c r="AL731" s="22"/>
    </row>
    <row r="732" spans="38:38" x14ac:dyDescent="0.2">
      <c r="AL732" s="22"/>
    </row>
    <row r="733" spans="38:38" x14ac:dyDescent="0.2">
      <c r="AL733" s="22"/>
    </row>
    <row r="734" spans="38:38" x14ac:dyDescent="0.2">
      <c r="AL734" s="22"/>
    </row>
    <row r="735" spans="38:38" x14ac:dyDescent="0.2">
      <c r="AL735" s="22"/>
    </row>
    <row r="736" spans="38:38" x14ac:dyDescent="0.2">
      <c r="AL736" s="22"/>
    </row>
    <row r="737" spans="38:38" x14ac:dyDescent="0.2">
      <c r="AL737" s="22"/>
    </row>
    <row r="738" spans="38:38" x14ac:dyDescent="0.2">
      <c r="AL738" s="22"/>
    </row>
    <row r="739" spans="38:38" x14ac:dyDescent="0.2">
      <c r="AL739" s="22"/>
    </row>
    <row r="740" spans="38:38" x14ac:dyDescent="0.2">
      <c r="AL740" s="22"/>
    </row>
    <row r="741" spans="38:38" x14ac:dyDescent="0.2">
      <c r="AL741" s="22"/>
    </row>
    <row r="742" spans="38:38" x14ac:dyDescent="0.2">
      <c r="AL742" s="22"/>
    </row>
    <row r="743" spans="38:38" x14ac:dyDescent="0.2">
      <c r="AL743" s="22"/>
    </row>
    <row r="744" spans="38:38" x14ac:dyDescent="0.2">
      <c r="AL744" s="22"/>
    </row>
  </sheetData>
  <dataValidations count="2">
    <dataValidation type="list" allowBlank="1" showInputMessage="1" showErrorMessage="1" sqref="AD2:AK2">
      <formula1>#REF!</formula1>
    </dataValidation>
    <dataValidation type="list" allowBlank="1" showInputMessage="1" showErrorMessage="1" sqref="B2:AH2">
      <formula1>#REF!</formula1>
    </dataValidation>
  </dataValidations>
  <pageMargins left="0.75" right="0.75" top="1" bottom="1" header="0.5" footer="0.5"/>
  <pageSetup scale="58" orientation="portrait" r:id="rId1"/>
  <headerFooter alignWithMargins="0"/>
  <rowBreaks count="1" manualBreakCount="1">
    <brk id="109" max="16383" man="1"/>
  </rowBreaks>
  <ignoredErrors>
    <ignoredError sqref="C5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16"/>
  <sheetViews>
    <sheetView tabSelected="1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A49" sqref="AA49"/>
    </sheetView>
  </sheetViews>
  <sheetFormatPr defaultColWidth="11.42578125" defaultRowHeight="12.75" x14ac:dyDescent="0.2"/>
  <cols>
    <col min="1" max="1" width="45" style="21" customWidth="1"/>
    <col min="2" max="8" width="15.5703125" style="22" customWidth="1"/>
    <col min="9" max="10" width="16.5703125" style="22" bestFit="1" customWidth="1"/>
    <col min="11" max="32" width="15.5703125" style="22" customWidth="1"/>
    <col min="33" max="33" width="2.28515625" style="1" customWidth="1"/>
    <col min="34" max="34" width="15.5703125" style="22" customWidth="1"/>
    <col min="35" max="35" width="12.7109375" style="22" bestFit="1" customWidth="1"/>
    <col min="36" max="16384" width="11.42578125" style="22"/>
  </cols>
  <sheetData>
    <row r="1" spans="1:65" x14ac:dyDescent="0.2">
      <c r="AG1" s="22"/>
    </row>
    <row r="2" spans="1:65" s="26" customFormat="1" ht="15" x14ac:dyDescent="0.25">
      <c r="A2" s="97" t="s">
        <v>0</v>
      </c>
      <c r="B2" s="103" t="s">
        <v>75</v>
      </c>
      <c r="C2" s="103" t="s">
        <v>65</v>
      </c>
      <c r="D2" s="103" t="s">
        <v>77</v>
      </c>
      <c r="E2" s="103" t="s">
        <v>76</v>
      </c>
      <c r="F2" s="103" t="s">
        <v>77</v>
      </c>
      <c r="G2" s="103" t="s">
        <v>51</v>
      </c>
      <c r="H2" s="103" t="s">
        <v>51</v>
      </c>
      <c r="I2" s="103" t="s">
        <v>69</v>
      </c>
      <c r="J2" s="103" t="s">
        <v>69</v>
      </c>
      <c r="K2" s="103" t="s">
        <v>69</v>
      </c>
      <c r="L2" s="103" t="s">
        <v>51</v>
      </c>
      <c r="M2" s="103" t="s">
        <v>51</v>
      </c>
      <c r="N2" s="103" t="s">
        <v>74</v>
      </c>
      <c r="O2" s="103" t="s">
        <v>74</v>
      </c>
      <c r="P2" s="103" t="s">
        <v>74</v>
      </c>
      <c r="Q2" s="103" t="s">
        <v>74</v>
      </c>
      <c r="R2" s="103" t="s">
        <v>83</v>
      </c>
      <c r="S2" s="103" t="s">
        <v>71</v>
      </c>
      <c r="T2" s="103" t="s">
        <v>71</v>
      </c>
      <c r="U2" s="103" t="s">
        <v>68</v>
      </c>
      <c r="V2" s="103" t="s">
        <v>79</v>
      </c>
      <c r="W2" s="103" t="s">
        <v>64</v>
      </c>
      <c r="X2" s="103" t="s">
        <v>64</v>
      </c>
      <c r="Y2" s="103" t="s">
        <v>67</v>
      </c>
      <c r="Z2" s="103" t="s">
        <v>78</v>
      </c>
      <c r="AA2" s="103" t="s">
        <v>70</v>
      </c>
      <c r="AB2" s="103" t="s">
        <v>66</v>
      </c>
      <c r="AC2" s="103" t="s">
        <v>68</v>
      </c>
      <c r="AD2" s="103" t="s">
        <v>68</v>
      </c>
      <c r="AE2" s="103" t="s">
        <v>68</v>
      </c>
      <c r="AF2" s="103" t="s">
        <v>68</v>
      </c>
      <c r="AG2" s="23"/>
      <c r="AH2" s="135" t="s">
        <v>1</v>
      </c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</row>
    <row r="3" spans="1:65" ht="15.75" x14ac:dyDescent="0.25">
      <c r="A3" s="27"/>
      <c r="B3" s="28"/>
      <c r="C3" s="28"/>
      <c r="D3" s="28"/>
      <c r="E3" s="28"/>
      <c r="F3" s="28"/>
      <c r="G3" s="28"/>
      <c r="H3" s="28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29"/>
      <c r="AH3" s="213"/>
    </row>
    <row r="4" spans="1:65" s="26" customFormat="1" ht="26.25" x14ac:dyDescent="0.25">
      <c r="A4" s="97" t="s">
        <v>2</v>
      </c>
      <c r="B4" s="216" t="s">
        <v>120</v>
      </c>
      <c r="C4" s="216" t="s">
        <v>120</v>
      </c>
      <c r="D4" s="216" t="s">
        <v>121</v>
      </c>
      <c r="E4" s="216" t="s">
        <v>122</v>
      </c>
      <c r="F4" s="216" t="s">
        <v>123</v>
      </c>
      <c r="G4" s="216" t="s">
        <v>124</v>
      </c>
      <c r="H4" s="216" t="s">
        <v>125</v>
      </c>
      <c r="I4" s="216" t="s">
        <v>126</v>
      </c>
      <c r="J4" s="216" t="s">
        <v>127</v>
      </c>
      <c r="K4" s="216" t="s">
        <v>128</v>
      </c>
      <c r="L4" s="216" t="s">
        <v>129</v>
      </c>
      <c r="M4" s="216" t="s">
        <v>130</v>
      </c>
      <c r="N4" s="216" t="s">
        <v>131</v>
      </c>
      <c r="O4" s="216" t="s">
        <v>132</v>
      </c>
      <c r="P4" s="216" t="s">
        <v>133</v>
      </c>
      <c r="Q4" s="216" t="s">
        <v>134</v>
      </c>
      <c r="R4" s="216" t="s">
        <v>135</v>
      </c>
      <c r="S4" s="216" t="s">
        <v>136</v>
      </c>
      <c r="T4" s="216" t="s">
        <v>137</v>
      </c>
      <c r="U4" s="216" t="s">
        <v>138</v>
      </c>
      <c r="V4" s="216" t="s">
        <v>139</v>
      </c>
      <c r="W4" s="216" t="s">
        <v>140</v>
      </c>
      <c r="X4" s="216" t="s">
        <v>141</v>
      </c>
      <c r="Y4" s="216" t="s">
        <v>142</v>
      </c>
      <c r="Z4" s="216" t="s">
        <v>143</v>
      </c>
      <c r="AA4" s="216" t="s">
        <v>144</v>
      </c>
      <c r="AB4" s="216" t="s">
        <v>145</v>
      </c>
      <c r="AC4" s="216" t="s">
        <v>146</v>
      </c>
      <c r="AD4" s="216" t="s">
        <v>147</v>
      </c>
      <c r="AE4" s="216" t="s">
        <v>148</v>
      </c>
      <c r="AF4" s="216" t="s">
        <v>149</v>
      </c>
      <c r="AG4" s="218"/>
      <c r="AH4" s="215"/>
      <c r="AI4" s="219"/>
      <c r="AJ4" s="219"/>
      <c r="AK4" s="219"/>
      <c r="AL4" s="219"/>
      <c r="AM4" s="219"/>
      <c r="AN4" s="219"/>
      <c r="AO4" s="219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</row>
    <row r="5" spans="1:65" ht="12.75" customHeight="1" x14ac:dyDescent="0.2">
      <c r="A5" s="2"/>
      <c r="B5" s="31"/>
      <c r="C5" s="31"/>
      <c r="D5" s="31"/>
      <c r="E5" s="31"/>
      <c r="F5" s="31"/>
      <c r="G5" s="31"/>
      <c r="H5" s="3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7"/>
      <c r="AH5" s="31"/>
    </row>
    <row r="6" spans="1:65" s="26" customFormat="1" ht="15" x14ac:dyDescent="0.25">
      <c r="A6" s="97" t="s">
        <v>3</v>
      </c>
      <c r="B6" s="19" t="s">
        <v>86</v>
      </c>
      <c r="C6" s="19" t="s">
        <v>86</v>
      </c>
      <c r="D6" s="19" t="s">
        <v>52</v>
      </c>
      <c r="E6" s="19" t="s">
        <v>86</v>
      </c>
      <c r="F6" s="19" t="s">
        <v>86</v>
      </c>
      <c r="G6" s="19" t="s">
        <v>52</v>
      </c>
      <c r="H6" s="19" t="s">
        <v>52</v>
      </c>
      <c r="I6" s="19" t="s">
        <v>86</v>
      </c>
      <c r="J6" s="19" t="s">
        <v>86</v>
      </c>
      <c r="K6" s="19" t="s">
        <v>86</v>
      </c>
      <c r="L6" s="19" t="s">
        <v>52</v>
      </c>
      <c r="M6" s="19" t="s">
        <v>52</v>
      </c>
      <c r="N6" s="19" t="s">
        <v>52</v>
      </c>
      <c r="O6" s="19" t="s">
        <v>52</v>
      </c>
      <c r="P6" s="19" t="s">
        <v>52</v>
      </c>
      <c r="Q6" s="19" t="s">
        <v>86</v>
      </c>
      <c r="R6" s="19" t="s">
        <v>86</v>
      </c>
      <c r="S6" s="19" t="s">
        <v>150</v>
      </c>
      <c r="T6" s="19" t="s">
        <v>150</v>
      </c>
      <c r="U6" s="19" t="s">
        <v>150</v>
      </c>
      <c r="V6" s="19" t="s">
        <v>150</v>
      </c>
      <c r="W6" s="19" t="s">
        <v>150</v>
      </c>
      <c r="X6" s="19" t="s">
        <v>150</v>
      </c>
      <c r="Y6" s="19" t="s">
        <v>150</v>
      </c>
      <c r="Z6" s="19" t="s">
        <v>150</v>
      </c>
      <c r="AA6" s="19" t="s">
        <v>52</v>
      </c>
      <c r="AB6" s="19" t="s">
        <v>52</v>
      </c>
      <c r="AC6" s="19" t="s">
        <v>150</v>
      </c>
      <c r="AD6" s="19" t="s">
        <v>150</v>
      </c>
      <c r="AE6" s="19" t="s">
        <v>150</v>
      </c>
      <c r="AF6" s="19" t="s">
        <v>150</v>
      </c>
      <c r="AG6" s="32"/>
      <c r="AH6" s="24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</row>
    <row r="7" spans="1:65" x14ac:dyDescent="0.2">
      <c r="A7" s="33" t="s">
        <v>4</v>
      </c>
      <c r="B7" s="34">
        <v>66660000</v>
      </c>
      <c r="C7" s="34"/>
      <c r="D7" s="34"/>
      <c r="E7" s="34">
        <v>120000000</v>
      </c>
      <c r="F7" s="34">
        <v>658625000</v>
      </c>
      <c r="G7" s="34"/>
      <c r="H7" s="34"/>
      <c r="I7" s="35"/>
      <c r="J7" s="35"/>
      <c r="K7" s="35">
        <v>259135000</v>
      </c>
      <c r="L7" s="35">
        <v>150000000</v>
      </c>
      <c r="M7" s="35"/>
      <c r="N7" s="35"/>
      <c r="O7" s="35"/>
      <c r="P7" s="35"/>
      <c r="Q7" s="35"/>
      <c r="R7" s="35"/>
      <c r="S7" s="35">
        <v>20045000</v>
      </c>
      <c r="T7" s="35"/>
      <c r="U7" s="35">
        <v>14500000</v>
      </c>
      <c r="V7" s="35"/>
      <c r="W7" s="35">
        <f>239965000+94365000</f>
        <v>334330000</v>
      </c>
      <c r="X7" s="35">
        <v>137025000</v>
      </c>
      <c r="Y7" s="35">
        <v>11500000</v>
      </c>
      <c r="Z7" s="35">
        <v>274030000</v>
      </c>
      <c r="AA7" s="35">
        <v>113740000</v>
      </c>
      <c r="AB7" s="35"/>
      <c r="AC7" s="35">
        <v>2900000</v>
      </c>
      <c r="AD7" s="35">
        <v>2700000</v>
      </c>
      <c r="AE7" s="35">
        <v>23000000</v>
      </c>
      <c r="AF7" s="35"/>
      <c r="AG7" s="36"/>
      <c r="AH7" s="34">
        <f>SUM(B7:AF7)</f>
        <v>2188190000</v>
      </c>
    </row>
    <row r="8" spans="1:65" x14ac:dyDescent="0.2">
      <c r="A8" s="37" t="s">
        <v>5</v>
      </c>
      <c r="B8" s="34">
        <v>21755000</v>
      </c>
      <c r="C8" s="34">
        <v>12370000</v>
      </c>
      <c r="D8" s="34">
        <v>973775000</v>
      </c>
      <c r="E8" s="34"/>
      <c r="F8" s="34">
        <v>799170000</v>
      </c>
      <c r="G8" s="34">
        <v>164855000</v>
      </c>
      <c r="H8" s="34">
        <v>297600000</v>
      </c>
      <c r="I8" s="35">
        <v>240340000</v>
      </c>
      <c r="J8" s="35">
        <v>221580000</v>
      </c>
      <c r="K8" s="35"/>
      <c r="L8" s="35"/>
      <c r="M8" s="35">
        <v>452505000</v>
      </c>
      <c r="N8" s="35">
        <v>40370000</v>
      </c>
      <c r="O8" s="35">
        <v>258925000</v>
      </c>
      <c r="P8" s="35">
        <v>233280000</v>
      </c>
      <c r="Q8" s="35">
        <v>709785000</v>
      </c>
      <c r="R8" s="35">
        <v>924195000</v>
      </c>
      <c r="S8" s="35">
        <v>30110000</v>
      </c>
      <c r="T8" s="35">
        <v>102420000</v>
      </c>
      <c r="U8" s="35"/>
      <c r="V8" s="35">
        <v>22255000</v>
      </c>
      <c r="W8" s="35"/>
      <c r="X8" s="35">
        <v>71440000</v>
      </c>
      <c r="Y8" s="35"/>
      <c r="Z8" s="35"/>
      <c r="AA8" s="35"/>
      <c r="AB8" s="35">
        <f>20000000+15095000+27295000+73465000</f>
        <v>135855000</v>
      </c>
      <c r="AC8" s="35"/>
      <c r="AD8" s="35"/>
      <c r="AE8" s="35"/>
      <c r="AF8" s="35">
        <v>8970392</v>
      </c>
      <c r="AG8" s="38"/>
      <c r="AH8" s="34">
        <f>SUM(B8:AF8)</f>
        <v>5721555392</v>
      </c>
    </row>
    <row r="9" spans="1:65" s="41" customFormat="1" x14ac:dyDescent="0.2">
      <c r="A9" s="39" t="s">
        <v>6</v>
      </c>
      <c r="B9" s="111">
        <f>B7+B8</f>
        <v>88415000</v>
      </c>
      <c r="C9" s="111">
        <f>C7+C8</f>
        <v>12370000</v>
      </c>
      <c r="D9" s="111">
        <f>D7+D8</f>
        <v>973775000</v>
      </c>
      <c r="E9" s="111">
        <f>E7+E8</f>
        <v>120000000</v>
      </c>
      <c r="F9" s="111">
        <f>F7+F8</f>
        <v>1457795000</v>
      </c>
      <c r="G9" s="111">
        <f t="shared" ref="G9:AE9" si="0">G7+G8</f>
        <v>164855000</v>
      </c>
      <c r="H9" s="111">
        <f t="shared" si="0"/>
        <v>297600000</v>
      </c>
      <c r="I9" s="111">
        <f t="shared" si="0"/>
        <v>240340000</v>
      </c>
      <c r="J9" s="111">
        <f t="shared" si="0"/>
        <v>221580000</v>
      </c>
      <c r="K9" s="111">
        <f t="shared" si="0"/>
        <v>259135000</v>
      </c>
      <c r="L9" s="111">
        <f t="shared" si="0"/>
        <v>150000000</v>
      </c>
      <c r="M9" s="111">
        <f t="shared" si="0"/>
        <v>452505000</v>
      </c>
      <c r="N9" s="111">
        <f t="shared" si="0"/>
        <v>40370000</v>
      </c>
      <c r="O9" s="111">
        <f t="shared" si="0"/>
        <v>258925000</v>
      </c>
      <c r="P9" s="111">
        <f t="shared" si="0"/>
        <v>233280000</v>
      </c>
      <c r="Q9" s="111">
        <f t="shared" si="0"/>
        <v>709785000</v>
      </c>
      <c r="R9" s="111">
        <f>R7+R8</f>
        <v>924195000</v>
      </c>
      <c r="S9" s="111">
        <f t="shared" si="0"/>
        <v>50155000</v>
      </c>
      <c r="T9" s="111">
        <f t="shared" si="0"/>
        <v>102420000</v>
      </c>
      <c r="U9" s="111">
        <f t="shared" si="0"/>
        <v>14500000</v>
      </c>
      <c r="V9" s="111">
        <f t="shared" si="0"/>
        <v>22255000</v>
      </c>
      <c r="W9" s="111">
        <f t="shared" si="0"/>
        <v>334330000</v>
      </c>
      <c r="X9" s="111">
        <f t="shared" si="0"/>
        <v>208465000</v>
      </c>
      <c r="Y9" s="111">
        <f t="shared" si="0"/>
        <v>11500000</v>
      </c>
      <c r="Z9" s="111">
        <f t="shared" si="0"/>
        <v>274030000</v>
      </c>
      <c r="AA9" s="111">
        <f t="shared" si="0"/>
        <v>113740000</v>
      </c>
      <c r="AB9" s="111">
        <f t="shared" si="0"/>
        <v>135855000</v>
      </c>
      <c r="AC9" s="111">
        <v>2900000</v>
      </c>
      <c r="AD9" s="111">
        <v>2700000</v>
      </c>
      <c r="AE9" s="111">
        <f t="shared" si="0"/>
        <v>23000000</v>
      </c>
      <c r="AF9" s="111">
        <f>AF7+AF8</f>
        <v>8970392</v>
      </c>
      <c r="AG9" s="112"/>
      <c r="AH9" s="111">
        <f>SUM(B9:AF9)</f>
        <v>7909745392</v>
      </c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</row>
    <row r="10" spans="1:65" ht="12.75" customHeight="1" x14ac:dyDescent="0.2">
      <c r="A10" s="33"/>
      <c r="B10" s="113"/>
      <c r="C10" s="113"/>
      <c r="D10" s="113"/>
      <c r="E10" s="113"/>
      <c r="F10" s="113"/>
      <c r="G10" s="113"/>
      <c r="H10" s="113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206"/>
      <c r="AH10" s="113" t="s">
        <v>53</v>
      </c>
    </row>
    <row r="11" spans="1:65" s="43" customFormat="1" ht="15" x14ac:dyDescent="0.25">
      <c r="A11" s="98" t="s">
        <v>7</v>
      </c>
      <c r="B11" s="42" t="s">
        <v>8</v>
      </c>
      <c r="C11" s="42" t="s">
        <v>8</v>
      </c>
      <c r="D11" s="42" t="s">
        <v>8</v>
      </c>
      <c r="E11" s="42" t="s">
        <v>85</v>
      </c>
      <c r="F11" s="42" t="s">
        <v>8</v>
      </c>
      <c r="G11" s="42" t="s">
        <v>85</v>
      </c>
      <c r="H11" s="42" t="s">
        <v>8</v>
      </c>
      <c r="I11" s="42" t="s">
        <v>8</v>
      </c>
      <c r="J11" s="42" t="s">
        <v>8</v>
      </c>
      <c r="K11" s="42" t="s">
        <v>8</v>
      </c>
      <c r="L11" s="42" t="s">
        <v>8</v>
      </c>
      <c r="M11" s="42" t="s">
        <v>151</v>
      </c>
      <c r="N11" s="42" t="s">
        <v>8</v>
      </c>
      <c r="O11" s="42" t="s">
        <v>8</v>
      </c>
      <c r="P11" s="42" t="s">
        <v>8</v>
      </c>
      <c r="Q11" s="42" t="s">
        <v>8</v>
      </c>
      <c r="R11" s="42" t="s">
        <v>151</v>
      </c>
      <c r="S11" s="42" t="s">
        <v>84</v>
      </c>
      <c r="T11" s="42" t="s">
        <v>84</v>
      </c>
      <c r="U11" s="42" t="s">
        <v>8</v>
      </c>
      <c r="V11" s="42" t="s">
        <v>8</v>
      </c>
      <c r="W11" s="42" t="s">
        <v>8</v>
      </c>
      <c r="X11" s="42" t="s">
        <v>84</v>
      </c>
      <c r="Y11" s="42" t="s">
        <v>152</v>
      </c>
      <c r="Z11" s="42" t="s">
        <v>8</v>
      </c>
      <c r="AA11" s="42" t="s">
        <v>84</v>
      </c>
      <c r="AB11" s="42" t="s">
        <v>8</v>
      </c>
      <c r="AC11" s="42" t="s">
        <v>8</v>
      </c>
      <c r="AD11" s="42" t="s">
        <v>8</v>
      </c>
      <c r="AE11" s="42" t="s">
        <v>85</v>
      </c>
      <c r="AF11" s="42" t="s">
        <v>85</v>
      </c>
      <c r="AG11" s="207"/>
      <c r="AH11" s="4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</row>
    <row r="12" spans="1:65" s="47" customFormat="1" ht="15" x14ac:dyDescent="0.25">
      <c r="A12" s="99" t="s">
        <v>47</v>
      </c>
      <c r="B12" s="44">
        <v>41822</v>
      </c>
      <c r="C12" s="44">
        <v>41765</v>
      </c>
      <c r="D12" s="44">
        <v>41822</v>
      </c>
      <c r="E12" s="44">
        <v>41808</v>
      </c>
      <c r="F12" s="44">
        <v>41731</v>
      </c>
      <c r="G12" s="44">
        <v>41729</v>
      </c>
      <c r="H12" s="44">
        <v>41571</v>
      </c>
      <c r="I12" s="44">
        <v>41680</v>
      </c>
      <c r="J12" s="44">
        <v>41731</v>
      </c>
      <c r="K12" s="44">
        <v>41760</v>
      </c>
      <c r="L12" s="44">
        <v>41696</v>
      </c>
      <c r="M12" s="44">
        <v>41820</v>
      </c>
      <c r="N12" s="44">
        <v>41625</v>
      </c>
      <c r="O12" s="44">
        <v>41828</v>
      </c>
      <c r="P12" s="44">
        <v>41828</v>
      </c>
      <c r="Q12" s="44">
        <v>41774</v>
      </c>
      <c r="R12" s="44">
        <v>41683</v>
      </c>
      <c r="S12" s="44">
        <v>41534</v>
      </c>
      <c r="T12" s="44">
        <v>41534</v>
      </c>
      <c r="U12" s="44">
        <v>41541</v>
      </c>
      <c r="V12" s="44">
        <v>41557</v>
      </c>
      <c r="W12" s="44">
        <v>41548</v>
      </c>
      <c r="X12" s="44">
        <v>41619</v>
      </c>
      <c r="Y12" s="44">
        <v>41543</v>
      </c>
      <c r="Z12" s="44">
        <v>41536</v>
      </c>
      <c r="AA12" s="44">
        <v>41570</v>
      </c>
      <c r="AB12" s="44">
        <v>41627</v>
      </c>
      <c r="AC12" s="44">
        <v>41816</v>
      </c>
      <c r="AD12" s="44">
        <v>41816</v>
      </c>
      <c r="AE12" s="44">
        <v>41696</v>
      </c>
      <c r="AF12" s="44">
        <v>41579</v>
      </c>
      <c r="AG12" s="208"/>
      <c r="AH12" s="44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</row>
    <row r="13" spans="1:65" s="26" customFormat="1" ht="12.75" customHeight="1" thickBot="1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209"/>
      <c r="AH13" s="49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</row>
    <row r="14" spans="1:65" ht="15" x14ac:dyDescent="0.25">
      <c r="A14" s="95" t="s">
        <v>9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3"/>
      <c r="AH14" s="105"/>
    </row>
    <row r="15" spans="1:65" x14ac:dyDescent="0.2">
      <c r="A15" s="3" t="s">
        <v>10</v>
      </c>
      <c r="B15" s="53">
        <v>60470</v>
      </c>
      <c r="C15" s="53">
        <v>24106</v>
      </c>
      <c r="D15" s="53">
        <v>197255</v>
      </c>
      <c r="E15" s="53">
        <v>10708</v>
      </c>
      <c r="F15" s="53">
        <v>275835</v>
      </c>
      <c r="G15" s="53">
        <v>110000</v>
      </c>
      <c r="H15" s="53">
        <v>110000</v>
      </c>
      <c r="I15" s="53">
        <v>100000</v>
      </c>
      <c r="J15" s="53">
        <v>100000</v>
      </c>
      <c r="K15" s="53">
        <v>111795</v>
      </c>
      <c r="L15" s="53">
        <v>87500</v>
      </c>
      <c r="M15" s="53">
        <v>167500</v>
      </c>
      <c r="N15" s="53">
        <v>82800</v>
      </c>
      <c r="O15" s="53">
        <v>40000</v>
      </c>
      <c r="P15" s="53">
        <v>40000</v>
      </c>
      <c r="Q15" s="53">
        <v>235000</v>
      </c>
      <c r="R15" s="53">
        <v>748911</v>
      </c>
      <c r="S15" s="53">
        <v>54613</v>
      </c>
      <c r="T15" s="53">
        <v>111536</v>
      </c>
      <c r="U15" s="53">
        <v>125000</v>
      </c>
      <c r="V15" s="53">
        <v>32000</v>
      </c>
      <c r="W15" s="53">
        <v>125750</v>
      </c>
      <c r="X15" s="53">
        <v>100463</v>
      </c>
      <c r="Y15" s="53">
        <v>56000</v>
      </c>
      <c r="Z15" s="53">
        <v>151500</v>
      </c>
      <c r="AA15" s="53">
        <v>70207</v>
      </c>
      <c r="AB15" s="53">
        <v>30105</v>
      </c>
      <c r="AC15" s="53">
        <v>65000</v>
      </c>
      <c r="AD15" s="53">
        <v>70000</v>
      </c>
      <c r="AE15" s="53">
        <v>140000</v>
      </c>
      <c r="AF15" s="53">
        <v>40000</v>
      </c>
      <c r="AG15" s="54"/>
      <c r="AH15" s="34">
        <f>SUM(B15:AF15)</f>
        <v>3674054</v>
      </c>
    </row>
    <row r="16" spans="1:65" x14ac:dyDescent="0.2">
      <c r="A16" s="3" t="s">
        <v>31</v>
      </c>
      <c r="B16" s="53"/>
      <c r="C16" s="53"/>
      <c r="D16" s="53"/>
      <c r="E16" s="53"/>
      <c r="F16" s="53"/>
      <c r="G16" s="53">
        <v>40811</v>
      </c>
      <c r="H16" s="53">
        <v>30000</v>
      </c>
      <c r="I16" s="53"/>
      <c r="J16" s="53"/>
      <c r="K16" s="53"/>
      <c r="L16" s="53">
        <v>23651</v>
      </c>
      <c r="M16" s="53">
        <v>70000</v>
      </c>
      <c r="N16" s="53"/>
      <c r="O16" s="53"/>
      <c r="P16" s="53"/>
      <c r="Q16" s="53"/>
      <c r="R16" s="53"/>
      <c r="S16" s="53"/>
      <c r="T16" s="53"/>
      <c r="U16" s="53">
        <v>19931</v>
      </c>
      <c r="V16" s="53"/>
      <c r="W16" s="53"/>
      <c r="X16" s="53"/>
      <c r="Y16" s="53"/>
      <c r="Z16" s="53"/>
      <c r="AA16" s="53">
        <v>15059</v>
      </c>
      <c r="AB16" s="53"/>
      <c r="AC16" s="53">
        <v>19456</v>
      </c>
      <c r="AD16" s="53">
        <v>10100</v>
      </c>
      <c r="AE16" s="53">
        <v>17104</v>
      </c>
      <c r="AF16" s="53">
        <v>6581</v>
      </c>
      <c r="AG16" s="54"/>
      <c r="AH16" s="34">
        <f t="shared" ref="AH16:AH58" si="1">SUM(B16:AF16)</f>
        <v>252693</v>
      </c>
    </row>
    <row r="17" spans="1:35" x14ac:dyDescent="0.2">
      <c r="A17" s="3" t="s">
        <v>11</v>
      </c>
      <c r="B17" s="53">
        <v>55759</v>
      </c>
      <c r="C17" s="53">
        <v>46055</v>
      </c>
      <c r="D17" s="53">
        <v>88930</v>
      </c>
      <c r="E17" s="53">
        <v>60500</v>
      </c>
      <c r="F17" s="53">
        <v>143471</v>
      </c>
      <c r="G17" s="53">
        <v>59210</v>
      </c>
      <c r="H17" s="53">
        <v>95000</v>
      </c>
      <c r="I17" s="53"/>
      <c r="J17" s="53"/>
      <c r="K17" s="53"/>
      <c r="L17" s="53">
        <v>54000</v>
      </c>
      <c r="M17" s="53">
        <v>145100</v>
      </c>
      <c r="N17" s="53">
        <v>67062</v>
      </c>
      <c r="O17" s="53">
        <v>63949</v>
      </c>
      <c r="P17" s="53">
        <v>63949</v>
      </c>
      <c r="Q17" s="53">
        <v>239762</v>
      </c>
      <c r="R17" s="53">
        <v>330000</v>
      </c>
      <c r="S17" s="53">
        <v>28949</v>
      </c>
      <c r="T17" s="53">
        <v>51430</v>
      </c>
      <c r="U17" s="53">
        <v>35000</v>
      </c>
      <c r="V17" s="53">
        <v>51659</v>
      </c>
      <c r="W17" s="53">
        <v>174006</v>
      </c>
      <c r="X17" s="53">
        <v>104494</v>
      </c>
      <c r="Y17" s="53">
        <v>33000</v>
      </c>
      <c r="Z17" s="53">
        <v>150000</v>
      </c>
      <c r="AA17" s="53">
        <v>56870</v>
      </c>
      <c r="AB17" s="53">
        <v>84791</v>
      </c>
      <c r="AC17" s="53">
        <v>35000</v>
      </c>
      <c r="AD17" s="53">
        <v>35000</v>
      </c>
      <c r="AE17" s="53">
        <v>35000</v>
      </c>
      <c r="AF17" s="53">
        <v>35000</v>
      </c>
      <c r="AG17" s="54"/>
      <c r="AH17" s="34">
        <f t="shared" si="1"/>
        <v>2422946</v>
      </c>
    </row>
    <row r="18" spans="1:35" x14ac:dyDescent="0.2">
      <c r="A18" s="3" t="s">
        <v>72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4"/>
      <c r="AH18" s="34">
        <f t="shared" si="1"/>
        <v>0</v>
      </c>
    </row>
    <row r="19" spans="1:35" x14ac:dyDescent="0.2">
      <c r="A19" s="3" t="s">
        <v>12</v>
      </c>
      <c r="B19" s="53">
        <v>3760</v>
      </c>
      <c r="C19" s="53">
        <v>1768</v>
      </c>
      <c r="D19" s="53">
        <v>5634</v>
      </c>
      <c r="E19" s="53"/>
      <c r="F19" s="53">
        <v>2762</v>
      </c>
      <c r="G19" s="53"/>
      <c r="H19" s="53">
        <v>890</v>
      </c>
      <c r="I19" s="53">
        <v>1500</v>
      </c>
      <c r="J19" s="53">
        <v>2053</v>
      </c>
      <c r="K19" s="53">
        <v>1820</v>
      </c>
      <c r="L19" s="53">
        <v>1188</v>
      </c>
      <c r="M19" s="53">
        <v>1628</v>
      </c>
      <c r="N19" s="53">
        <v>1411</v>
      </c>
      <c r="O19" s="53">
        <v>383</v>
      </c>
      <c r="P19" s="53">
        <v>383</v>
      </c>
      <c r="Q19" s="53">
        <v>1036</v>
      </c>
      <c r="R19" s="53">
        <v>5000</v>
      </c>
      <c r="S19" s="53">
        <v>911</v>
      </c>
      <c r="T19" s="53">
        <v>1849</v>
      </c>
      <c r="U19" s="53"/>
      <c r="V19" s="53">
        <v>4260</v>
      </c>
      <c r="W19" s="53">
        <v>4260</v>
      </c>
      <c r="X19" s="53">
        <v>2856</v>
      </c>
      <c r="Y19" s="53"/>
      <c r="Z19" s="53">
        <f>25506+17000</f>
        <v>42506</v>
      </c>
      <c r="AA19" s="53">
        <v>2336</v>
      </c>
      <c r="AB19" s="53">
        <v>1128</v>
      </c>
      <c r="AC19" s="53"/>
      <c r="AD19" s="53"/>
      <c r="AE19" s="53"/>
      <c r="AF19" s="53"/>
      <c r="AG19" s="54"/>
      <c r="AH19" s="34">
        <f t="shared" si="1"/>
        <v>91322</v>
      </c>
    </row>
    <row r="20" spans="1:35" x14ac:dyDescent="0.2">
      <c r="A20" s="3" t="s">
        <v>13</v>
      </c>
      <c r="B20" s="53">
        <v>1050</v>
      </c>
      <c r="C20" s="53">
        <v>800</v>
      </c>
      <c r="D20" s="53">
        <v>150</v>
      </c>
      <c r="E20" s="53">
        <v>500</v>
      </c>
      <c r="F20" s="53">
        <v>1575</v>
      </c>
      <c r="G20" s="53"/>
      <c r="H20" s="53"/>
      <c r="I20" s="53">
        <v>2000</v>
      </c>
      <c r="J20" s="53">
        <v>2000</v>
      </c>
      <c r="K20" s="53">
        <v>4750</v>
      </c>
      <c r="L20" s="53"/>
      <c r="M20" s="53"/>
      <c r="N20" s="53"/>
      <c r="O20" s="53">
        <v>13000</v>
      </c>
      <c r="P20" s="53">
        <v>13000</v>
      </c>
      <c r="Q20" s="53"/>
      <c r="R20" s="53"/>
      <c r="S20" s="53">
        <v>1650</v>
      </c>
      <c r="T20" s="53">
        <v>1650</v>
      </c>
      <c r="U20" s="53"/>
      <c r="V20" s="53">
        <v>4500</v>
      </c>
      <c r="W20" s="53">
        <v>4750</v>
      </c>
      <c r="X20" s="53">
        <v>2803</v>
      </c>
      <c r="Y20" s="53">
        <v>4500</v>
      </c>
      <c r="Z20" s="53"/>
      <c r="AA20" s="53">
        <v>750</v>
      </c>
      <c r="AB20" s="53">
        <v>3167</v>
      </c>
      <c r="AC20" s="53"/>
      <c r="AD20" s="53"/>
      <c r="AE20" s="53"/>
      <c r="AF20" s="53"/>
      <c r="AG20" s="54"/>
      <c r="AH20" s="34">
        <f t="shared" si="1"/>
        <v>62595</v>
      </c>
    </row>
    <row r="21" spans="1:35" x14ac:dyDescent="0.2">
      <c r="A21" s="3" t="s">
        <v>14</v>
      </c>
      <c r="B21" s="53"/>
      <c r="C21" s="53"/>
      <c r="D21" s="53">
        <v>97378</v>
      </c>
      <c r="E21" s="53"/>
      <c r="F21" s="53">
        <v>165780</v>
      </c>
      <c r="G21" s="53"/>
      <c r="H21" s="53"/>
      <c r="I21" s="53">
        <v>15488</v>
      </c>
      <c r="J21" s="53"/>
      <c r="K21" s="53">
        <v>35000</v>
      </c>
      <c r="L21" s="53"/>
      <c r="M21" s="53"/>
      <c r="N21" s="53"/>
      <c r="O21" s="53">
        <v>21656</v>
      </c>
      <c r="P21" s="53">
        <v>21656</v>
      </c>
      <c r="Q21" s="53">
        <v>75000</v>
      </c>
      <c r="R21" s="53">
        <v>173500</v>
      </c>
      <c r="S21" s="53"/>
      <c r="T21" s="53"/>
      <c r="U21" s="53">
        <v>5000</v>
      </c>
      <c r="V21" s="53"/>
      <c r="W21" s="53">
        <v>30000</v>
      </c>
      <c r="X21" s="53"/>
      <c r="Y21" s="53">
        <v>16200</v>
      </c>
      <c r="Z21" s="53"/>
      <c r="AA21" s="53"/>
      <c r="AB21" s="53"/>
      <c r="AC21" s="53">
        <v>5000</v>
      </c>
      <c r="AD21" s="53">
        <v>5000</v>
      </c>
      <c r="AE21" s="53">
        <v>5000</v>
      </c>
      <c r="AF21" s="53"/>
      <c r="AG21" s="54"/>
      <c r="AH21" s="34">
        <f t="shared" si="1"/>
        <v>671658</v>
      </c>
      <c r="AI21" s="92"/>
    </row>
    <row r="22" spans="1:35" x14ac:dyDescent="0.2">
      <c r="A22" s="3" t="s">
        <v>15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4"/>
      <c r="AH22" s="34">
        <f t="shared" si="1"/>
        <v>0</v>
      </c>
      <c r="AI22" s="92"/>
    </row>
    <row r="23" spans="1:35" x14ac:dyDescent="0.2">
      <c r="A23" s="3" t="s">
        <v>16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>
        <v>30310</v>
      </c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4"/>
      <c r="AH23" s="34">
        <f t="shared" si="1"/>
        <v>30310</v>
      </c>
    </row>
    <row r="24" spans="1:35" x14ac:dyDescent="0.2">
      <c r="A24" s="3" t="s">
        <v>26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>
        <v>12000</v>
      </c>
      <c r="S24" s="53"/>
      <c r="T24" s="53"/>
      <c r="U24" s="53">
        <v>7500</v>
      </c>
      <c r="V24" s="53"/>
      <c r="W24" s="53"/>
      <c r="X24" s="53"/>
      <c r="Y24" s="53">
        <v>1500</v>
      </c>
      <c r="Z24" s="53"/>
      <c r="AA24" s="53"/>
      <c r="AB24" s="53"/>
      <c r="AC24" s="53">
        <v>5500</v>
      </c>
      <c r="AD24" s="53">
        <v>5500</v>
      </c>
      <c r="AE24" s="53">
        <v>6500</v>
      </c>
      <c r="AF24" s="53">
        <v>1500</v>
      </c>
      <c r="AG24" s="54"/>
      <c r="AH24" s="34">
        <f t="shared" si="1"/>
        <v>40000</v>
      </c>
    </row>
    <row r="25" spans="1:35" x14ac:dyDescent="0.2">
      <c r="A25" s="3" t="s">
        <v>27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>
        <v>15000</v>
      </c>
      <c r="S25" s="53"/>
      <c r="T25" s="53"/>
      <c r="U25" s="53">
        <v>7000</v>
      </c>
      <c r="V25" s="53"/>
      <c r="W25" s="53"/>
      <c r="X25" s="53"/>
      <c r="Y25" s="53">
        <v>5000</v>
      </c>
      <c r="Z25" s="53">
        <v>10134</v>
      </c>
      <c r="AA25" s="53"/>
      <c r="AB25" s="53"/>
      <c r="AC25" s="53">
        <v>6500</v>
      </c>
      <c r="AD25" s="53">
        <v>6500</v>
      </c>
      <c r="AE25" s="53">
        <v>5500</v>
      </c>
      <c r="AF25" s="53">
        <v>2000</v>
      </c>
      <c r="AG25" s="54"/>
      <c r="AH25" s="34">
        <f t="shared" si="1"/>
        <v>57634</v>
      </c>
    </row>
    <row r="26" spans="1:35" x14ac:dyDescent="0.2">
      <c r="A26" s="3" t="s">
        <v>17</v>
      </c>
      <c r="B26" s="53">
        <v>500</v>
      </c>
      <c r="C26" s="53">
        <v>500</v>
      </c>
      <c r="D26" s="53">
        <v>350</v>
      </c>
      <c r="E26" s="53"/>
      <c r="F26" s="53">
        <v>175</v>
      </c>
      <c r="G26" s="53"/>
      <c r="H26" s="53"/>
      <c r="I26" s="53"/>
      <c r="J26" s="53">
        <v>1100</v>
      </c>
      <c r="K26" s="53"/>
      <c r="L26" s="53"/>
      <c r="M26" s="53"/>
      <c r="N26" s="53">
        <v>750</v>
      </c>
      <c r="O26" s="53">
        <v>250</v>
      </c>
      <c r="P26" s="53">
        <v>250</v>
      </c>
      <c r="Q26" s="53">
        <v>1250</v>
      </c>
      <c r="R26" s="53"/>
      <c r="S26" s="53">
        <v>2500</v>
      </c>
      <c r="T26" s="53"/>
      <c r="U26" s="53"/>
      <c r="V26" s="53">
        <v>500</v>
      </c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4"/>
      <c r="AH26" s="34">
        <f t="shared" si="1"/>
        <v>8125</v>
      </c>
    </row>
    <row r="27" spans="1:35" x14ac:dyDescent="0.2">
      <c r="A27" s="3" t="s">
        <v>18</v>
      </c>
      <c r="B27" s="53"/>
      <c r="C27" s="53"/>
      <c r="D27" s="53">
        <v>2150</v>
      </c>
      <c r="E27" s="53"/>
      <c r="F27" s="53">
        <v>2300</v>
      </c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>
        <v>4000</v>
      </c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4"/>
      <c r="AH27" s="34">
        <f t="shared" si="1"/>
        <v>8450</v>
      </c>
    </row>
    <row r="28" spans="1:35" x14ac:dyDescent="0.2">
      <c r="A28" s="3" t="s">
        <v>19</v>
      </c>
      <c r="B28" s="53">
        <v>9500</v>
      </c>
      <c r="C28" s="53">
        <v>9500</v>
      </c>
      <c r="D28" s="53">
        <v>9500</v>
      </c>
      <c r="E28" s="53">
        <v>9500</v>
      </c>
      <c r="F28" s="53">
        <v>19000</v>
      </c>
      <c r="G28" s="53">
        <v>9500</v>
      </c>
      <c r="H28" s="53">
        <v>9500</v>
      </c>
      <c r="I28" s="53">
        <v>9500</v>
      </c>
      <c r="J28" s="53">
        <v>9500</v>
      </c>
      <c r="K28" s="53">
        <v>9500</v>
      </c>
      <c r="L28" s="53">
        <v>9500</v>
      </c>
      <c r="M28" s="53">
        <v>38000</v>
      </c>
      <c r="N28" s="53">
        <v>9500</v>
      </c>
      <c r="O28" s="53">
        <v>9500</v>
      </c>
      <c r="P28" s="53">
        <v>9500</v>
      </c>
      <c r="Q28" s="53">
        <v>19000</v>
      </c>
      <c r="R28" s="53">
        <v>28500</v>
      </c>
      <c r="S28" s="53">
        <v>9500</v>
      </c>
      <c r="T28" s="53">
        <v>9500</v>
      </c>
      <c r="U28" s="53">
        <v>9500</v>
      </c>
      <c r="V28" s="53">
        <v>9500</v>
      </c>
      <c r="W28" s="53">
        <v>19000</v>
      </c>
      <c r="X28" s="53">
        <v>9500</v>
      </c>
      <c r="Y28" s="53">
        <v>9500</v>
      </c>
      <c r="Z28" s="53">
        <v>9500</v>
      </c>
      <c r="AA28" s="53">
        <v>9500</v>
      </c>
      <c r="AB28" s="53">
        <v>38000</v>
      </c>
      <c r="AC28" s="53">
        <v>9500</v>
      </c>
      <c r="AD28" s="53">
        <v>9500</v>
      </c>
      <c r="AE28" s="53">
        <v>9500</v>
      </c>
      <c r="AF28" s="53">
        <v>8971</v>
      </c>
      <c r="AG28" s="54"/>
      <c r="AH28" s="34">
        <f t="shared" si="1"/>
        <v>398471</v>
      </c>
      <c r="AI28" s="92"/>
    </row>
    <row r="29" spans="1:35" x14ac:dyDescent="0.2">
      <c r="A29" s="3" t="s">
        <v>28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>
        <v>22250</v>
      </c>
      <c r="V29" s="53"/>
      <c r="W29" s="53"/>
      <c r="X29" s="53"/>
      <c r="Y29" s="53">
        <v>30000</v>
      </c>
      <c r="Z29" s="53"/>
      <c r="AA29" s="53">
        <v>500</v>
      </c>
      <c r="AB29" s="53"/>
      <c r="AC29" s="53">
        <v>6000</v>
      </c>
      <c r="AD29" s="53">
        <v>6000</v>
      </c>
      <c r="AE29" s="53">
        <v>10750</v>
      </c>
      <c r="AF29" s="53"/>
      <c r="AG29" s="54"/>
      <c r="AH29" s="34">
        <f t="shared" si="1"/>
        <v>75500</v>
      </c>
    </row>
    <row r="30" spans="1:35" x14ac:dyDescent="0.2">
      <c r="A30" s="3" t="s">
        <v>29</v>
      </c>
      <c r="B30" s="53">
        <v>500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>
        <f>72500+11000+6050+14500+36183</f>
        <v>140233</v>
      </c>
      <c r="V30" s="53"/>
      <c r="W30" s="53"/>
      <c r="X30" s="53"/>
      <c r="Y30" s="53">
        <f>21083+2500+10800</f>
        <v>34383</v>
      </c>
      <c r="Z30" s="53"/>
      <c r="AA30" s="53"/>
      <c r="AB30" s="53"/>
      <c r="AC30" s="53">
        <v>40335</v>
      </c>
      <c r="AD30" s="53">
        <v>37794</v>
      </c>
      <c r="AE30" s="53">
        <v>156550</v>
      </c>
      <c r="AF30" s="53">
        <v>15426</v>
      </c>
      <c r="AG30" s="54"/>
      <c r="AH30" s="34">
        <f t="shared" si="1"/>
        <v>425221</v>
      </c>
    </row>
    <row r="31" spans="1:35" x14ac:dyDescent="0.2">
      <c r="A31" s="3" t="s">
        <v>48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4"/>
      <c r="AH31" s="34">
        <f t="shared" si="1"/>
        <v>0</v>
      </c>
    </row>
    <row r="32" spans="1:35" x14ac:dyDescent="0.2">
      <c r="A32" s="3" t="s">
        <v>30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>
        <v>150</v>
      </c>
      <c r="AF32" s="53"/>
      <c r="AG32" s="54"/>
      <c r="AH32" s="34">
        <f t="shared" si="1"/>
        <v>150</v>
      </c>
    </row>
    <row r="33" spans="1:65" x14ac:dyDescent="0.2">
      <c r="A33" s="3" t="s">
        <v>50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4"/>
      <c r="AH33" s="34">
        <f t="shared" si="1"/>
        <v>0</v>
      </c>
    </row>
    <row r="34" spans="1:65" x14ac:dyDescent="0.2">
      <c r="A34" s="3" t="s">
        <v>49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4"/>
      <c r="AH34" s="34">
        <f t="shared" si="1"/>
        <v>0</v>
      </c>
    </row>
    <row r="35" spans="1:65" ht="13.5" thickBot="1" x14ac:dyDescent="0.25">
      <c r="A35" s="55" t="s">
        <v>20</v>
      </c>
      <c r="B35" s="56">
        <v>7094</v>
      </c>
      <c r="C35" s="56"/>
      <c r="D35" s="56">
        <v>76977</v>
      </c>
      <c r="E35" s="56">
        <v>35488</v>
      </c>
      <c r="F35" s="56">
        <v>90669</v>
      </c>
      <c r="G35" s="56"/>
      <c r="H35" s="56"/>
      <c r="I35" s="56"/>
      <c r="J35" s="56">
        <v>3000</v>
      </c>
      <c r="K35" s="56"/>
      <c r="L35" s="56"/>
      <c r="M35" s="56"/>
      <c r="N35" s="56">
        <v>1818</v>
      </c>
      <c r="O35" s="56">
        <v>2354</v>
      </c>
      <c r="P35" s="56">
        <v>2354</v>
      </c>
      <c r="Q35" s="56">
        <v>4798</v>
      </c>
      <c r="R35" s="56">
        <v>188454</v>
      </c>
      <c r="S35" s="56">
        <f>4000+725</f>
        <v>4725</v>
      </c>
      <c r="T35" s="56">
        <v>1480</v>
      </c>
      <c r="U35" s="56">
        <f>3500+126500</f>
        <v>130000</v>
      </c>
      <c r="V35" s="56">
        <f>4486+1500</f>
        <v>5986</v>
      </c>
      <c r="W35" s="56">
        <v>5263</v>
      </c>
      <c r="X35" s="56">
        <v>873</v>
      </c>
      <c r="Y35" s="56">
        <v>1500</v>
      </c>
      <c r="Z35" s="56"/>
      <c r="AA35" s="56"/>
      <c r="AB35" s="56">
        <v>10815</v>
      </c>
      <c r="AC35" s="56">
        <v>2000</v>
      </c>
      <c r="AD35" s="56">
        <v>2000</v>
      </c>
      <c r="AE35" s="56">
        <v>370000</v>
      </c>
      <c r="AF35" s="56">
        <v>19500</v>
      </c>
      <c r="AG35" s="58"/>
      <c r="AH35" s="59">
        <f t="shared" si="1"/>
        <v>967148</v>
      </c>
    </row>
    <row r="36" spans="1:65" ht="15" x14ac:dyDescent="0.25">
      <c r="A36" s="95" t="s">
        <v>54</v>
      </c>
      <c r="B36" s="106" t="s">
        <v>53</v>
      </c>
      <c r="C36" s="106"/>
      <c r="D36" s="106"/>
      <c r="E36" s="106"/>
      <c r="F36" s="106"/>
      <c r="G36" s="106"/>
      <c r="H36" s="106" t="s">
        <v>53</v>
      </c>
      <c r="I36" s="106"/>
      <c r="J36" s="106"/>
      <c r="K36" s="106"/>
      <c r="L36" s="106"/>
      <c r="M36" s="106"/>
      <c r="N36" s="106"/>
      <c r="O36" s="106"/>
      <c r="P36" s="106"/>
      <c r="Q36" s="106"/>
      <c r="R36" s="106" t="s">
        <v>53</v>
      </c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210"/>
      <c r="AH36" s="132"/>
    </row>
    <row r="37" spans="1:65" x14ac:dyDescent="0.2">
      <c r="A37" s="3" t="s">
        <v>55</v>
      </c>
      <c r="B37" s="53">
        <v>53500</v>
      </c>
      <c r="C37" s="53">
        <v>6750</v>
      </c>
      <c r="D37" s="53">
        <v>105000</v>
      </c>
      <c r="E37" s="53"/>
      <c r="F37" s="53">
        <v>147500</v>
      </c>
      <c r="G37" s="53"/>
      <c r="H37" s="53">
        <v>45000</v>
      </c>
      <c r="I37" s="53">
        <v>65000</v>
      </c>
      <c r="J37" s="53">
        <v>60000</v>
      </c>
      <c r="K37" s="53">
        <v>62500</v>
      </c>
      <c r="L37" s="53"/>
      <c r="M37" s="53">
        <v>29000</v>
      </c>
      <c r="N37" s="53">
        <v>18017</v>
      </c>
      <c r="O37" s="53">
        <v>50000</v>
      </c>
      <c r="P37" s="53">
        <v>25000</v>
      </c>
      <c r="Q37" s="53">
        <v>135000</v>
      </c>
      <c r="R37" s="53">
        <v>0</v>
      </c>
      <c r="S37" s="53">
        <v>29585</v>
      </c>
      <c r="T37" s="53">
        <v>60415</v>
      </c>
      <c r="U37" s="53"/>
      <c r="V37" s="53">
        <v>30000</v>
      </c>
      <c r="W37" s="53">
        <v>90000</v>
      </c>
      <c r="X37" s="53">
        <v>100000</v>
      </c>
      <c r="Y37" s="53"/>
      <c r="Z37" s="53">
        <v>524125</v>
      </c>
      <c r="AA37" s="53">
        <v>37000</v>
      </c>
      <c r="AB37" s="53">
        <v>37000</v>
      </c>
      <c r="AC37" s="53"/>
      <c r="AD37" s="53"/>
      <c r="AE37" s="53"/>
      <c r="AF37" s="53"/>
      <c r="AG37" s="54"/>
      <c r="AH37" s="34">
        <f t="shared" si="1"/>
        <v>1710392</v>
      </c>
    </row>
    <row r="38" spans="1:65" x14ac:dyDescent="0.2">
      <c r="A38" s="3" t="s">
        <v>56</v>
      </c>
      <c r="B38" s="53"/>
      <c r="C38" s="53"/>
      <c r="D38" s="53">
        <v>79200</v>
      </c>
      <c r="E38" s="53"/>
      <c r="F38" s="53">
        <v>118000</v>
      </c>
      <c r="G38" s="53"/>
      <c r="H38" s="53"/>
      <c r="I38" s="53">
        <v>35000</v>
      </c>
      <c r="J38" s="53">
        <v>30800</v>
      </c>
      <c r="K38" s="53">
        <v>57400</v>
      </c>
      <c r="L38" s="53">
        <v>20000</v>
      </c>
      <c r="M38" s="53"/>
      <c r="N38" s="53">
        <v>14700</v>
      </c>
      <c r="O38" s="53">
        <v>54000</v>
      </c>
      <c r="P38" s="53">
        <v>54000</v>
      </c>
      <c r="Q38" s="53">
        <v>125000</v>
      </c>
      <c r="R38" s="53">
        <v>120000</v>
      </c>
      <c r="S38" s="53">
        <v>20545</v>
      </c>
      <c r="T38" s="53">
        <v>41955</v>
      </c>
      <c r="U38" s="53">
        <v>3500</v>
      </c>
      <c r="V38" s="53"/>
      <c r="W38" s="53">
        <v>59850</v>
      </c>
      <c r="X38" s="53">
        <v>52500</v>
      </c>
      <c r="Y38" s="53"/>
      <c r="Z38" s="53">
        <v>466000</v>
      </c>
      <c r="AA38" s="53">
        <v>28000</v>
      </c>
      <c r="AB38" s="53">
        <v>32900</v>
      </c>
      <c r="AC38" s="53">
        <v>3500</v>
      </c>
      <c r="AD38" s="53">
        <v>3500</v>
      </c>
      <c r="AE38" s="53"/>
      <c r="AF38" s="53"/>
      <c r="AG38" s="54"/>
      <c r="AH38" s="34">
        <f t="shared" si="1"/>
        <v>1420350</v>
      </c>
    </row>
    <row r="39" spans="1:65" ht="13.5" thickBot="1" x14ac:dyDescent="0.25">
      <c r="A39" s="4" t="s">
        <v>57</v>
      </c>
      <c r="B39" s="56">
        <v>48000</v>
      </c>
      <c r="C39" s="56"/>
      <c r="D39" s="56">
        <v>95000</v>
      </c>
      <c r="E39" s="56"/>
      <c r="F39" s="56"/>
      <c r="G39" s="56"/>
      <c r="H39" s="56"/>
      <c r="I39" s="56"/>
      <c r="J39" s="56"/>
      <c r="K39" s="56"/>
      <c r="L39" s="56"/>
      <c r="M39" s="56"/>
      <c r="N39" s="56">
        <v>20000</v>
      </c>
      <c r="O39" s="56">
        <v>42500</v>
      </c>
      <c r="P39" s="56">
        <v>42500</v>
      </c>
      <c r="Q39" s="56">
        <v>85000</v>
      </c>
      <c r="R39" s="56">
        <v>150000</v>
      </c>
      <c r="S39" s="56"/>
      <c r="T39" s="56"/>
      <c r="U39" s="56"/>
      <c r="V39" s="56">
        <v>23000</v>
      </c>
      <c r="W39" s="56"/>
      <c r="X39" s="56"/>
      <c r="Y39" s="56"/>
      <c r="Z39" s="56"/>
      <c r="AA39" s="56"/>
      <c r="AB39" s="56">
        <v>50000</v>
      </c>
      <c r="AC39" s="56"/>
      <c r="AD39" s="56"/>
      <c r="AE39" s="56"/>
      <c r="AF39" s="56"/>
      <c r="AG39" s="11"/>
      <c r="AH39" s="59">
        <f t="shared" si="1"/>
        <v>556000</v>
      </c>
    </row>
    <row r="40" spans="1:65" s="43" customFormat="1" ht="12.75" customHeight="1" thickBot="1" x14ac:dyDescent="0.25">
      <c r="A40" s="62" t="s">
        <v>35</v>
      </c>
      <c r="B40" s="63">
        <f t="shared" ref="B40:AE40" si="2">SUM(B15:B39)</f>
        <v>240133</v>
      </c>
      <c r="C40" s="63">
        <f t="shared" si="2"/>
        <v>89479</v>
      </c>
      <c r="D40" s="63">
        <f t="shared" si="2"/>
        <v>757524</v>
      </c>
      <c r="E40" s="63">
        <f t="shared" si="2"/>
        <v>116696</v>
      </c>
      <c r="F40" s="63">
        <f t="shared" si="2"/>
        <v>967067</v>
      </c>
      <c r="G40" s="63">
        <f t="shared" si="2"/>
        <v>219521</v>
      </c>
      <c r="H40" s="63">
        <f t="shared" si="2"/>
        <v>290390</v>
      </c>
      <c r="I40" s="63">
        <f t="shared" si="2"/>
        <v>228488</v>
      </c>
      <c r="J40" s="63">
        <f t="shared" si="2"/>
        <v>208453</v>
      </c>
      <c r="K40" s="63">
        <f>SUM(K15:K39)</f>
        <v>282765</v>
      </c>
      <c r="L40" s="63">
        <f t="shared" si="2"/>
        <v>226149</v>
      </c>
      <c r="M40" s="63">
        <f t="shared" si="2"/>
        <v>451228</v>
      </c>
      <c r="N40" s="63">
        <f t="shared" si="2"/>
        <v>216058</v>
      </c>
      <c r="O40" s="63">
        <f t="shared" si="2"/>
        <v>297592</v>
      </c>
      <c r="P40" s="63">
        <f t="shared" si="2"/>
        <v>272592</v>
      </c>
      <c r="Q40" s="63">
        <f t="shared" si="2"/>
        <v>924846</v>
      </c>
      <c r="R40" s="63">
        <f>SUM(R15:R39)</f>
        <v>1771365</v>
      </c>
      <c r="S40" s="63">
        <f t="shared" si="2"/>
        <v>152978</v>
      </c>
      <c r="T40" s="63">
        <f>SUM(T15:T39)</f>
        <v>279815</v>
      </c>
      <c r="U40" s="63">
        <f t="shared" si="2"/>
        <v>504914</v>
      </c>
      <c r="V40" s="63">
        <f t="shared" si="2"/>
        <v>161405</v>
      </c>
      <c r="W40" s="63">
        <f t="shared" si="2"/>
        <v>512879</v>
      </c>
      <c r="X40" s="63">
        <f t="shared" si="2"/>
        <v>373489</v>
      </c>
      <c r="Y40" s="63">
        <f t="shared" si="2"/>
        <v>191583</v>
      </c>
      <c r="Z40" s="63">
        <f t="shared" si="2"/>
        <v>1353765</v>
      </c>
      <c r="AA40" s="63">
        <f t="shared" si="2"/>
        <v>220222</v>
      </c>
      <c r="AB40" s="63">
        <f t="shared" si="2"/>
        <v>287906</v>
      </c>
      <c r="AC40" s="63">
        <f t="shared" si="2"/>
        <v>197791</v>
      </c>
      <c r="AD40" s="63">
        <f t="shared" si="2"/>
        <v>190894</v>
      </c>
      <c r="AE40" s="63">
        <f t="shared" si="2"/>
        <v>756054</v>
      </c>
      <c r="AF40" s="63">
        <f>SUM(AF15:AF39)</f>
        <v>128978</v>
      </c>
      <c r="AG40" s="211"/>
      <c r="AH40" s="133">
        <f t="shared" si="1"/>
        <v>12873019</v>
      </c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</row>
    <row r="41" spans="1:65" ht="15.75" thickBot="1" x14ac:dyDescent="0.3">
      <c r="A41" s="96" t="s">
        <v>33</v>
      </c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>
        <v>59130</v>
      </c>
      <c r="AF41" s="116"/>
      <c r="AG41" s="117"/>
      <c r="AH41" s="133">
        <f t="shared" si="1"/>
        <v>59130</v>
      </c>
    </row>
    <row r="42" spans="1:65" s="47" customFormat="1" ht="13.5" thickBot="1" x14ac:dyDescent="0.25">
      <c r="A42" s="65" t="s">
        <v>34</v>
      </c>
      <c r="B42" s="56">
        <f t="shared" ref="B42:AE42" si="3">SUM(B40:B41)</f>
        <v>240133</v>
      </c>
      <c r="C42" s="56">
        <f t="shared" si="3"/>
        <v>89479</v>
      </c>
      <c r="D42" s="56">
        <f t="shared" si="3"/>
        <v>757524</v>
      </c>
      <c r="E42" s="56">
        <f t="shared" si="3"/>
        <v>116696</v>
      </c>
      <c r="F42" s="56">
        <f t="shared" si="3"/>
        <v>967067</v>
      </c>
      <c r="G42" s="56">
        <f t="shared" si="3"/>
        <v>219521</v>
      </c>
      <c r="H42" s="56">
        <f t="shared" si="3"/>
        <v>290390</v>
      </c>
      <c r="I42" s="56">
        <f t="shared" si="3"/>
        <v>228488</v>
      </c>
      <c r="J42" s="56">
        <f t="shared" si="3"/>
        <v>208453</v>
      </c>
      <c r="K42" s="56">
        <f>SUM(K40:K41)</f>
        <v>282765</v>
      </c>
      <c r="L42" s="56">
        <f t="shared" si="3"/>
        <v>226149</v>
      </c>
      <c r="M42" s="56">
        <f>SUM(M40:M41)</f>
        <v>451228</v>
      </c>
      <c r="N42" s="56">
        <f t="shared" si="3"/>
        <v>216058</v>
      </c>
      <c r="O42" s="56">
        <f t="shared" si="3"/>
        <v>297592</v>
      </c>
      <c r="P42" s="56">
        <f t="shared" si="3"/>
        <v>272592</v>
      </c>
      <c r="Q42" s="56">
        <f t="shared" si="3"/>
        <v>924846</v>
      </c>
      <c r="R42" s="56">
        <f>SUM(R40:R41)</f>
        <v>1771365</v>
      </c>
      <c r="S42" s="56">
        <f t="shared" si="3"/>
        <v>152978</v>
      </c>
      <c r="T42" s="56">
        <f t="shared" si="3"/>
        <v>279815</v>
      </c>
      <c r="U42" s="56">
        <f t="shared" si="3"/>
        <v>504914</v>
      </c>
      <c r="V42" s="56">
        <f t="shared" si="3"/>
        <v>161405</v>
      </c>
      <c r="W42" s="56">
        <f t="shared" si="3"/>
        <v>512879</v>
      </c>
      <c r="X42" s="56">
        <f t="shared" si="3"/>
        <v>373489</v>
      </c>
      <c r="Y42" s="56">
        <f t="shared" si="3"/>
        <v>191583</v>
      </c>
      <c r="Z42" s="56">
        <f t="shared" si="3"/>
        <v>1353765</v>
      </c>
      <c r="AA42" s="56">
        <f t="shared" si="3"/>
        <v>220222</v>
      </c>
      <c r="AB42" s="56">
        <f t="shared" si="3"/>
        <v>287906</v>
      </c>
      <c r="AC42" s="56">
        <f t="shared" si="3"/>
        <v>197791</v>
      </c>
      <c r="AD42" s="56">
        <f t="shared" si="3"/>
        <v>190894</v>
      </c>
      <c r="AE42" s="56">
        <f t="shared" si="3"/>
        <v>815184</v>
      </c>
      <c r="AF42" s="56">
        <f>SUM(AF40:AF41)</f>
        <v>128978</v>
      </c>
      <c r="AG42" s="118"/>
      <c r="AH42" s="133">
        <f t="shared" si="1"/>
        <v>12932149</v>
      </c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</row>
    <row r="43" spans="1:65" ht="13.5" thickBot="1" x14ac:dyDescent="0.25">
      <c r="A43" s="25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7"/>
      <c r="AH43" s="133"/>
    </row>
    <row r="44" spans="1:65" x14ac:dyDescent="0.2">
      <c r="A44" s="12" t="s">
        <v>58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3"/>
      <c r="AH44" s="134"/>
    </row>
    <row r="45" spans="1:65" x14ac:dyDescent="0.2">
      <c r="A45" s="3" t="s">
        <v>59</v>
      </c>
      <c r="B45" s="119"/>
      <c r="C45" s="119">
        <v>9278</v>
      </c>
      <c r="D45" s="119">
        <v>60000</v>
      </c>
      <c r="E45" s="119"/>
      <c r="F45" s="119"/>
      <c r="G45" s="119"/>
      <c r="H45" s="119"/>
      <c r="I45" s="119"/>
      <c r="J45" s="119"/>
      <c r="K45" s="119"/>
      <c r="L45" s="119"/>
      <c r="M45" s="119"/>
      <c r="N45" s="119">
        <v>15000</v>
      </c>
      <c r="O45" s="119">
        <v>25893</v>
      </c>
      <c r="P45" s="119">
        <v>23328</v>
      </c>
      <c r="Q45" s="119"/>
      <c r="R45" s="119"/>
      <c r="S45" s="119"/>
      <c r="T45" s="119"/>
      <c r="U45" s="119">
        <v>145000</v>
      </c>
      <c r="V45" s="119"/>
      <c r="W45" s="119"/>
      <c r="X45" s="119"/>
      <c r="Y45" s="119">
        <v>74750</v>
      </c>
      <c r="Z45" s="119"/>
      <c r="AA45" s="119"/>
      <c r="AB45" s="119">
        <v>101891</v>
      </c>
      <c r="AC45" s="119">
        <v>26700</v>
      </c>
      <c r="AD45" s="119">
        <v>25100</v>
      </c>
      <c r="AE45" s="119"/>
      <c r="AF45" s="119"/>
      <c r="AG45" s="7"/>
      <c r="AH45" s="34">
        <f t="shared" si="1"/>
        <v>506940</v>
      </c>
    </row>
    <row r="46" spans="1:65" x14ac:dyDescent="0.2">
      <c r="A46" s="3" t="s">
        <v>60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>
        <v>24861</v>
      </c>
      <c r="T46" s="31"/>
      <c r="U46" s="31"/>
      <c r="V46" s="31"/>
      <c r="W46" s="31"/>
      <c r="X46" s="31">
        <v>31433</v>
      </c>
      <c r="Y46" s="31"/>
      <c r="Z46" s="31">
        <v>26952</v>
      </c>
      <c r="AA46" s="31"/>
      <c r="AB46" s="31"/>
      <c r="AC46" s="31"/>
      <c r="AD46" s="31"/>
      <c r="AE46" s="31"/>
      <c r="AF46" s="31"/>
      <c r="AG46" s="7"/>
      <c r="AH46" s="34">
        <f t="shared" si="1"/>
        <v>83246</v>
      </c>
    </row>
    <row r="47" spans="1:65" x14ac:dyDescent="0.2">
      <c r="A47" s="3" t="s">
        <v>61</v>
      </c>
      <c r="B47" s="119">
        <v>327370</v>
      </c>
      <c r="C47" s="119">
        <v>57241</v>
      </c>
      <c r="D47" s="119">
        <v>3518325</v>
      </c>
      <c r="E47" s="119"/>
      <c r="F47" s="119">
        <v>4682550</v>
      </c>
      <c r="G47" s="119"/>
      <c r="H47" s="119">
        <v>796080</v>
      </c>
      <c r="I47" s="119">
        <v>901275</v>
      </c>
      <c r="J47" s="119">
        <v>754682</v>
      </c>
      <c r="K47" s="119">
        <v>901934</v>
      </c>
      <c r="L47" s="119">
        <v>150000</v>
      </c>
      <c r="M47" s="119">
        <v>633173</v>
      </c>
      <c r="N47" s="119">
        <v>120441</v>
      </c>
      <c r="O47" s="119">
        <v>798409</v>
      </c>
      <c r="P47" s="119">
        <v>731470</v>
      </c>
      <c r="Q47" s="119">
        <v>1760383</v>
      </c>
      <c r="R47" s="119">
        <v>1100198</v>
      </c>
      <c r="S47" s="119">
        <v>158255</v>
      </c>
      <c r="T47" s="119">
        <v>146206</v>
      </c>
      <c r="U47" s="119"/>
      <c r="V47" s="119">
        <v>76169</v>
      </c>
      <c r="W47" s="119">
        <v>1284744</v>
      </c>
      <c r="X47" s="119">
        <v>164059</v>
      </c>
      <c r="Y47" s="119"/>
      <c r="Z47" s="119">
        <v>1370150</v>
      </c>
      <c r="AA47" s="119">
        <v>233110</v>
      </c>
      <c r="AB47" s="119">
        <v>477936</v>
      </c>
      <c r="AC47" s="119"/>
      <c r="AD47" s="119"/>
      <c r="AE47" s="119"/>
      <c r="AF47" s="119"/>
      <c r="AG47" s="7"/>
      <c r="AH47" s="34">
        <f t="shared" si="1"/>
        <v>21144160</v>
      </c>
    </row>
    <row r="48" spans="1:65" x14ac:dyDescent="0.2">
      <c r="A48" s="3" t="s">
        <v>62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>
        <v>0</v>
      </c>
      <c r="T48" s="31">
        <v>0</v>
      </c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7"/>
      <c r="AH48" s="34">
        <f t="shared" si="1"/>
        <v>0</v>
      </c>
    </row>
    <row r="49" spans="1:65" x14ac:dyDescent="0.2">
      <c r="A49" s="3" t="s">
        <v>63</v>
      </c>
      <c r="B49" s="119">
        <v>11157</v>
      </c>
      <c r="C49" s="119">
        <v>4805</v>
      </c>
      <c r="D49" s="119">
        <v>83982</v>
      </c>
      <c r="E49" s="119"/>
      <c r="F49" s="119">
        <v>189419</v>
      </c>
      <c r="G49" s="119"/>
      <c r="H49" s="119">
        <v>1248</v>
      </c>
      <c r="I49" s="119">
        <v>27854</v>
      </c>
      <c r="J49" s="119">
        <v>22857</v>
      </c>
      <c r="K49" s="119">
        <v>21513</v>
      </c>
      <c r="L49" s="119">
        <v>845</v>
      </c>
      <c r="M49" s="119">
        <v>11513</v>
      </c>
      <c r="N49" s="119">
        <v>15180</v>
      </c>
      <c r="O49" s="119">
        <v>34945</v>
      </c>
      <c r="P49" s="119">
        <v>31256</v>
      </c>
      <c r="Q49" s="119">
        <v>81519</v>
      </c>
      <c r="R49" s="119">
        <v>164677</v>
      </c>
      <c r="S49" s="119">
        <v>12539</v>
      </c>
      <c r="T49" s="119">
        <v>37777</v>
      </c>
      <c r="U49" s="119"/>
      <c r="V49" s="119">
        <v>6006</v>
      </c>
      <c r="W49" s="119">
        <v>31348.800000000003</v>
      </c>
      <c r="X49" s="119">
        <v>37524</v>
      </c>
      <c r="Y49" s="119"/>
      <c r="Z49" s="119">
        <v>48718.63</v>
      </c>
      <c r="AA49" s="119"/>
      <c r="AB49" s="119">
        <v>22544</v>
      </c>
      <c r="AC49" s="119"/>
      <c r="AD49" s="119"/>
      <c r="AE49" s="119"/>
      <c r="AF49" s="119"/>
      <c r="AG49" s="7"/>
      <c r="AH49" s="34">
        <f t="shared" si="1"/>
        <v>899227.43</v>
      </c>
    </row>
    <row r="50" spans="1:65" ht="13.5" thickBot="1" x14ac:dyDescent="0.25">
      <c r="A50" s="10" t="s">
        <v>22</v>
      </c>
      <c r="B50" s="56">
        <v>58049</v>
      </c>
      <c r="C50" s="56">
        <v>12000</v>
      </c>
      <c r="D50" s="56">
        <v>100000</v>
      </c>
      <c r="E50" s="56"/>
      <c r="F50" s="56">
        <v>125000</v>
      </c>
      <c r="G50" s="56"/>
      <c r="H50" s="56">
        <v>30000</v>
      </c>
      <c r="I50" s="56">
        <v>45000</v>
      </c>
      <c r="J50" s="56">
        <v>30000</v>
      </c>
      <c r="K50" s="56">
        <v>37500</v>
      </c>
      <c r="L50" s="56">
        <v>30000</v>
      </c>
      <c r="M50" s="56">
        <v>35000</v>
      </c>
      <c r="N50" s="56">
        <v>47500</v>
      </c>
      <c r="O50" s="56">
        <v>25000</v>
      </c>
      <c r="P50" s="56">
        <v>25000</v>
      </c>
      <c r="Q50" s="56">
        <v>75000</v>
      </c>
      <c r="R50" s="56">
        <v>100000</v>
      </c>
      <c r="S50" s="56"/>
      <c r="T50" s="56"/>
      <c r="U50" s="56"/>
      <c r="V50" s="56">
        <v>21000</v>
      </c>
      <c r="W50" s="56">
        <v>49606.2</v>
      </c>
      <c r="X50" s="56"/>
      <c r="Y50" s="56">
        <v>42200</v>
      </c>
      <c r="Z50" s="56"/>
      <c r="AA50" s="56"/>
      <c r="AB50" s="56">
        <v>35000</v>
      </c>
      <c r="AC50" s="56"/>
      <c r="AD50" s="56">
        <v>28250</v>
      </c>
      <c r="AE50" s="56"/>
      <c r="AF50" s="56"/>
      <c r="AG50" s="11"/>
      <c r="AH50" s="34">
        <f t="shared" si="1"/>
        <v>951105.2</v>
      </c>
    </row>
    <row r="51" spans="1:65" s="69" customFormat="1" ht="13.5" thickBot="1" x14ac:dyDescent="0.25">
      <c r="A51" s="67" t="s">
        <v>37</v>
      </c>
      <c r="B51" s="120">
        <f>SUM(B45:B50)</f>
        <v>396576</v>
      </c>
      <c r="C51" s="120">
        <f t="shared" ref="C51:AF51" si="4">SUM(C45:C50)</f>
        <v>83324</v>
      </c>
      <c r="D51" s="120">
        <f t="shared" si="4"/>
        <v>3762307</v>
      </c>
      <c r="E51" s="120">
        <f t="shared" si="4"/>
        <v>0</v>
      </c>
      <c r="F51" s="120">
        <f t="shared" si="4"/>
        <v>4996969</v>
      </c>
      <c r="G51" s="120">
        <f t="shared" si="4"/>
        <v>0</v>
      </c>
      <c r="H51" s="120">
        <f t="shared" si="4"/>
        <v>827328</v>
      </c>
      <c r="I51" s="120">
        <f t="shared" si="4"/>
        <v>974129</v>
      </c>
      <c r="J51" s="120">
        <f t="shared" si="4"/>
        <v>807539</v>
      </c>
      <c r="K51" s="120">
        <f t="shared" si="4"/>
        <v>960947</v>
      </c>
      <c r="L51" s="120">
        <f t="shared" si="4"/>
        <v>180845</v>
      </c>
      <c r="M51" s="120">
        <f t="shared" si="4"/>
        <v>679686</v>
      </c>
      <c r="N51" s="120">
        <f t="shared" si="4"/>
        <v>198121</v>
      </c>
      <c r="O51" s="120">
        <f t="shared" si="4"/>
        <v>884247</v>
      </c>
      <c r="P51" s="120">
        <f t="shared" si="4"/>
        <v>811054</v>
      </c>
      <c r="Q51" s="120">
        <f t="shared" si="4"/>
        <v>1916902</v>
      </c>
      <c r="R51" s="120">
        <f t="shared" si="4"/>
        <v>1364875</v>
      </c>
      <c r="S51" s="120">
        <f t="shared" si="4"/>
        <v>195655</v>
      </c>
      <c r="T51" s="120">
        <f t="shared" si="4"/>
        <v>183983</v>
      </c>
      <c r="U51" s="120">
        <f t="shared" si="4"/>
        <v>145000</v>
      </c>
      <c r="V51" s="120">
        <f t="shared" si="4"/>
        <v>103175</v>
      </c>
      <c r="W51" s="120">
        <f t="shared" si="4"/>
        <v>1365699</v>
      </c>
      <c r="X51" s="120">
        <f t="shared" si="4"/>
        <v>233016</v>
      </c>
      <c r="Y51" s="120">
        <f t="shared" si="4"/>
        <v>116950</v>
      </c>
      <c r="Z51" s="120">
        <f t="shared" si="4"/>
        <v>1445820.63</v>
      </c>
      <c r="AA51" s="120">
        <f t="shared" si="4"/>
        <v>233110</v>
      </c>
      <c r="AB51" s="120">
        <f t="shared" si="4"/>
        <v>637371</v>
      </c>
      <c r="AC51" s="120">
        <f t="shared" si="4"/>
        <v>26700</v>
      </c>
      <c r="AD51" s="120">
        <f t="shared" si="4"/>
        <v>53350</v>
      </c>
      <c r="AE51" s="120">
        <f t="shared" si="4"/>
        <v>0</v>
      </c>
      <c r="AF51" s="120">
        <f t="shared" si="4"/>
        <v>0</v>
      </c>
      <c r="AG51" s="121"/>
      <c r="AH51" s="120">
        <f t="shared" si="1"/>
        <v>23584678.629999999</v>
      </c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</row>
    <row r="52" spans="1:65" s="68" customFormat="1" ht="13.5" thickBot="1" x14ac:dyDescent="0.25">
      <c r="A52" s="14" t="s">
        <v>32</v>
      </c>
      <c r="B52" s="116"/>
      <c r="C52" s="116"/>
      <c r="D52" s="116"/>
      <c r="E52" s="116"/>
      <c r="F52" s="116"/>
      <c r="G52" s="116">
        <v>30000</v>
      </c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22"/>
      <c r="AH52" s="116">
        <f t="shared" si="1"/>
        <v>30000</v>
      </c>
    </row>
    <row r="53" spans="1:65" s="71" customFormat="1" ht="13.5" thickBot="1" x14ac:dyDescent="0.25">
      <c r="A53" s="70" t="s">
        <v>38</v>
      </c>
      <c r="B53" s="123"/>
      <c r="C53" s="123"/>
      <c r="D53" s="123"/>
      <c r="E53" s="123">
        <v>25000</v>
      </c>
      <c r="F53" s="123"/>
      <c r="G53" s="123">
        <v>442213</v>
      </c>
      <c r="H53" s="123"/>
      <c r="I53" s="123"/>
      <c r="J53" s="123"/>
      <c r="K53" s="123"/>
      <c r="L53" s="123"/>
      <c r="M53" s="123">
        <v>216429</v>
      </c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4"/>
      <c r="AH53" s="123">
        <f t="shared" si="1"/>
        <v>683642</v>
      </c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</row>
    <row r="54" spans="1:65" ht="13.5" thickBot="1" x14ac:dyDescent="0.25">
      <c r="A54" s="25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7"/>
      <c r="AH54" s="31"/>
    </row>
    <row r="55" spans="1:65" s="73" customFormat="1" ht="15.75" thickBot="1" x14ac:dyDescent="0.3">
      <c r="A55" s="96" t="s">
        <v>21</v>
      </c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7"/>
      <c r="AH55" s="116">
        <f t="shared" si="1"/>
        <v>0</v>
      </c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</row>
    <row r="56" spans="1:65" ht="13.5" thickBot="1" x14ac:dyDescent="0.25">
      <c r="A56" s="25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7"/>
      <c r="AH56" s="31"/>
    </row>
    <row r="57" spans="1:65" s="43" customFormat="1" x14ac:dyDescent="0.2">
      <c r="A57" s="62" t="s">
        <v>45</v>
      </c>
      <c r="B57" s="63">
        <f t="shared" ref="B57:AF57" si="5">SUM(B40,B51,B53)</f>
        <v>636709</v>
      </c>
      <c r="C57" s="63">
        <f t="shared" si="5"/>
        <v>172803</v>
      </c>
      <c r="D57" s="63">
        <f t="shared" si="5"/>
        <v>4519831</v>
      </c>
      <c r="E57" s="63">
        <f t="shared" si="5"/>
        <v>141696</v>
      </c>
      <c r="F57" s="63">
        <f t="shared" si="5"/>
        <v>5964036</v>
      </c>
      <c r="G57" s="63">
        <f t="shared" si="5"/>
        <v>661734</v>
      </c>
      <c r="H57" s="63">
        <f t="shared" si="5"/>
        <v>1117718</v>
      </c>
      <c r="I57" s="63">
        <f t="shared" si="5"/>
        <v>1202617</v>
      </c>
      <c r="J57" s="63">
        <f t="shared" si="5"/>
        <v>1015992</v>
      </c>
      <c r="K57" s="63">
        <f t="shared" si="5"/>
        <v>1243712</v>
      </c>
      <c r="L57" s="63">
        <f t="shared" si="5"/>
        <v>406994</v>
      </c>
      <c r="M57" s="63">
        <f t="shared" si="5"/>
        <v>1347343</v>
      </c>
      <c r="N57" s="63">
        <f t="shared" si="5"/>
        <v>414179</v>
      </c>
      <c r="O57" s="63">
        <f t="shared" si="5"/>
        <v>1181839</v>
      </c>
      <c r="P57" s="63">
        <f t="shared" si="5"/>
        <v>1083646</v>
      </c>
      <c r="Q57" s="63">
        <f t="shared" si="5"/>
        <v>2841748</v>
      </c>
      <c r="R57" s="63">
        <f t="shared" si="5"/>
        <v>3136240</v>
      </c>
      <c r="S57" s="63">
        <f t="shared" si="5"/>
        <v>348633</v>
      </c>
      <c r="T57" s="63">
        <f t="shared" si="5"/>
        <v>463798</v>
      </c>
      <c r="U57" s="63">
        <f t="shared" si="5"/>
        <v>649914</v>
      </c>
      <c r="V57" s="63">
        <f t="shared" si="5"/>
        <v>264580</v>
      </c>
      <c r="W57" s="63">
        <f t="shared" si="5"/>
        <v>1878578</v>
      </c>
      <c r="X57" s="63">
        <f t="shared" si="5"/>
        <v>606505</v>
      </c>
      <c r="Y57" s="63">
        <f t="shared" si="5"/>
        <v>308533</v>
      </c>
      <c r="Z57" s="63">
        <f t="shared" si="5"/>
        <v>2799585.63</v>
      </c>
      <c r="AA57" s="63">
        <f t="shared" si="5"/>
        <v>453332</v>
      </c>
      <c r="AB57" s="63">
        <f t="shared" si="5"/>
        <v>925277</v>
      </c>
      <c r="AC57" s="63">
        <f t="shared" si="5"/>
        <v>224491</v>
      </c>
      <c r="AD57" s="63">
        <f t="shared" si="5"/>
        <v>244244</v>
      </c>
      <c r="AE57" s="63">
        <f t="shared" si="5"/>
        <v>756054</v>
      </c>
      <c r="AF57" s="63">
        <f t="shared" si="5"/>
        <v>128978</v>
      </c>
      <c r="AG57" s="75"/>
      <c r="AH57" s="63">
        <f t="shared" si="1"/>
        <v>37141339.630000003</v>
      </c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</row>
    <row r="58" spans="1:65" s="47" customFormat="1" ht="13.5" thickBot="1" x14ac:dyDescent="0.25">
      <c r="A58" s="65" t="s">
        <v>36</v>
      </c>
      <c r="B58" s="56">
        <f t="shared" ref="B58:AF58" si="6">B42+B51+B53</f>
        <v>636709</v>
      </c>
      <c r="C58" s="56">
        <f t="shared" si="6"/>
        <v>172803</v>
      </c>
      <c r="D58" s="56">
        <f t="shared" si="6"/>
        <v>4519831</v>
      </c>
      <c r="E58" s="56">
        <f t="shared" si="6"/>
        <v>141696</v>
      </c>
      <c r="F58" s="56">
        <f t="shared" si="6"/>
        <v>5964036</v>
      </c>
      <c r="G58" s="56">
        <f t="shared" si="6"/>
        <v>661734</v>
      </c>
      <c r="H58" s="56">
        <f t="shared" si="6"/>
        <v>1117718</v>
      </c>
      <c r="I58" s="56">
        <f t="shared" si="6"/>
        <v>1202617</v>
      </c>
      <c r="J58" s="56">
        <f t="shared" si="6"/>
        <v>1015992</v>
      </c>
      <c r="K58" s="56">
        <f t="shared" si="6"/>
        <v>1243712</v>
      </c>
      <c r="L58" s="56">
        <f t="shared" si="6"/>
        <v>406994</v>
      </c>
      <c r="M58" s="56">
        <f t="shared" si="6"/>
        <v>1347343</v>
      </c>
      <c r="N58" s="56">
        <f t="shared" si="6"/>
        <v>414179</v>
      </c>
      <c r="O58" s="56">
        <f t="shared" si="6"/>
        <v>1181839</v>
      </c>
      <c r="P58" s="56">
        <f t="shared" si="6"/>
        <v>1083646</v>
      </c>
      <c r="Q58" s="56">
        <f t="shared" si="6"/>
        <v>2841748</v>
      </c>
      <c r="R58" s="56">
        <f t="shared" si="6"/>
        <v>3136240</v>
      </c>
      <c r="S58" s="56">
        <f t="shared" si="6"/>
        <v>348633</v>
      </c>
      <c r="T58" s="56">
        <f t="shared" si="6"/>
        <v>463798</v>
      </c>
      <c r="U58" s="56">
        <f t="shared" si="6"/>
        <v>649914</v>
      </c>
      <c r="V58" s="56">
        <f t="shared" si="6"/>
        <v>264580</v>
      </c>
      <c r="W58" s="56">
        <f t="shared" si="6"/>
        <v>1878578</v>
      </c>
      <c r="X58" s="56">
        <f t="shared" si="6"/>
        <v>606505</v>
      </c>
      <c r="Y58" s="56">
        <f t="shared" si="6"/>
        <v>308533</v>
      </c>
      <c r="Z58" s="56">
        <f t="shared" si="6"/>
        <v>2799585.63</v>
      </c>
      <c r="AA58" s="56">
        <f t="shared" si="6"/>
        <v>453332</v>
      </c>
      <c r="AB58" s="56">
        <f t="shared" si="6"/>
        <v>925277</v>
      </c>
      <c r="AC58" s="56">
        <f t="shared" si="6"/>
        <v>224491</v>
      </c>
      <c r="AD58" s="56">
        <f t="shared" si="6"/>
        <v>244244</v>
      </c>
      <c r="AE58" s="56">
        <f t="shared" si="6"/>
        <v>815184</v>
      </c>
      <c r="AF58" s="56">
        <f t="shared" si="6"/>
        <v>128978</v>
      </c>
      <c r="AG58" s="58"/>
      <c r="AH58" s="56">
        <f t="shared" si="1"/>
        <v>37200469.630000003</v>
      </c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</row>
    <row r="59" spans="1:65" x14ac:dyDescent="0.2">
      <c r="A59" s="25"/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27"/>
      <c r="AH59" s="34"/>
    </row>
    <row r="60" spans="1:65" x14ac:dyDescent="0.2">
      <c r="A60" s="7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9"/>
      <c r="AH60" s="34"/>
    </row>
    <row r="61" spans="1:65" ht="12.75" customHeight="1" thickBot="1" x14ac:dyDescent="0.25">
      <c r="A61" s="25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7"/>
      <c r="AH61" s="34"/>
    </row>
    <row r="62" spans="1:65" s="26" customFormat="1" ht="15" x14ac:dyDescent="0.25">
      <c r="A62" s="95" t="s">
        <v>23</v>
      </c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7"/>
      <c r="AH62" s="105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</row>
    <row r="63" spans="1:65" x14ac:dyDescent="0.2">
      <c r="A63" s="3" t="s">
        <v>10</v>
      </c>
      <c r="B63" s="77">
        <f t="shared" ref="B63:AF63" si="7">B15/(B$9/1000)</f>
        <v>0.68393372165356559</v>
      </c>
      <c r="C63" s="77">
        <f t="shared" si="7"/>
        <v>1.9487469684721099</v>
      </c>
      <c r="D63" s="77">
        <f t="shared" si="7"/>
        <v>0.20256732818156145</v>
      </c>
      <c r="E63" s="77">
        <f t="shared" si="7"/>
        <v>8.9233333333333331E-2</v>
      </c>
      <c r="F63" s="77">
        <f t="shared" si="7"/>
        <v>0.18921384694007046</v>
      </c>
      <c r="G63" s="77">
        <f t="shared" si="7"/>
        <v>0.66725304055078705</v>
      </c>
      <c r="H63" s="77">
        <f t="shared" si="7"/>
        <v>0.3696236559139785</v>
      </c>
      <c r="I63" s="77">
        <f t="shared" si="7"/>
        <v>0.41607722393276192</v>
      </c>
      <c r="J63" s="77">
        <f t="shared" si="7"/>
        <v>0.45130426933838796</v>
      </c>
      <c r="K63" s="77">
        <f t="shared" si="7"/>
        <v>0.43141605726744747</v>
      </c>
      <c r="L63" s="77">
        <f t="shared" si="7"/>
        <v>0.58333333333333337</v>
      </c>
      <c r="M63" s="77">
        <f t="shared" si="7"/>
        <v>0.37016165567231302</v>
      </c>
      <c r="N63" s="77">
        <f t="shared" si="7"/>
        <v>2.0510279910824871</v>
      </c>
      <c r="O63" s="77">
        <f t="shared" si="7"/>
        <v>0.15448488944675098</v>
      </c>
      <c r="P63" s="77">
        <f t="shared" si="7"/>
        <v>0.17146776406035666</v>
      </c>
      <c r="Q63" s="77">
        <f t="shared" si="7"/>
        <v>0.33108617398226226</v>
      </c>
      <c r="R63" s="77">
        <f t="shared" si="7"/>
        <v>0.81033872721665878</v>
      </c>
      <c r="S63" s="77">
        <f t="shared" si="7"/>
        <v>1.0888844581796431</v>
      </c>
      <c r="T63" s="77">
        <f t="shared" si="7"/>
        <v>1.0890060535051749</v>
      </c>
      <c r="U63" s="77">
        <f t="shared" si="7"/>
        <v>8.6206896551724146</v>
      </c>
      <c r="V63" s="77">
        <f t="shared" si="7"/>
        <v>1.4378791282857786</v>
      </c>
      <c r="W63" s="77">
        <f t="shared" si="7"/>
        <v>0.37612538509855531</v>
      </c>
      <c r="X63" s="77">
        <f t="shared" si="7"/>
        <v>0.48191782793274651</v>
      </c>
      <c r="Y63" s="77">
        <f t="shared" si="7"/>
        <v>4.8695652173913047</v>
      </c>
      <c r="Z63" s="77">
        <f t="shared" si="7"/>
        <v>0.55285917600262746</v>
      </c>
      <c r="AA63" s="77">
        <f t="shared" si="7"/>
        <v>0.61725866010198693</v>
      </c>
      <c r="AB63" s="77">
        <f t="shared" si="7"/>
        <v>0.22159655515071217</v>
      </c>
      <c r="AC63" s="77">
        <f t="shared" si="7"/>
        <v>22.413793103448278</v>
      </c>
      <c r="AD63" s="77">
        <f t="shared" si="7"/>
        <v>25.925925925925927</v>
      </c>
      <c r="AE63" s="77">
        <f t="shared" si="7"/>
        <v>6.0869565217391308</v>
      </c>
      <c r="AF63" s="77">
        <f t="shared" si="7"/>
        <v>4.4591139383875307</v>
      </c>
      <c r="AG63" s="86"/>
      <c r="AH63" s="77">
        <v>0.46449712575021401</v>
      </c>
    </row>
    <row r="64" spans="1:65" x14ac:dyDescent="0.2">
      <c r="A64" s="3" t="s">
        <v>31</v>
      </c>
      <c r="B64" s="77">
        <f t="shared" ref="B64:AF64" si="8">B16/(B$9/1000)</f>
        <v>0</v>
      </c>
      <c r="C64" s="77">
        <f t="shared" si="8"/>
        <v>0</v>
      </c>
      <c r="D64" s="77">
        <f t="shared" si="8"/>
        <v>0</v>
      </c>
      <c r="E64" s="77">
        <f t="shared" si="8"/>
        <v>0</v>
      </c>
      <c r="F64" s="77">
        <f t="shared" si="8"/>
        <v>0</v>
      </c>
      <c r="G64" s="77">
        <f t="shared" si="8"/>
        <v>0.24755694398107428</v>
      </c>
      <c r="H64" s="77">
        <f t="shared" si="8"/>
        <v>0.10080645161290322</v>
      </c>
      <c r="I64" s="77">
        <f t="shared" si="8"/>
        <v>0</v>
      </c>
      <c r="J64" s="77">
        <f t="shared" si="8"/>
        <v>0</v>
      </c>
      <c r="K64" s="77">
        <f t="shared" si="8"/>
        <v>0</v>
      </c>
      <c r="L64" s="77">
        <f t="shared" si="8"/>
        <v>0.15767333333333333</v>
      </c>
      <c r="M64" s="77">
        <f t="shared" si="8"/>
        <v>0.15469442326604127</v>
      </c>
      <c r="N64" s="77">
        <f t="shared" si="8"/>
        <v>0</v>
      </c>
      <c r="O64" s="77">
        <f t="shared" si="8"/>
        <v>0</v>
      </c>
      <c r="P64" s="77">
        <f t="shared" si="8"/>
        <v>0</v>
      </c>
      <c r="Q64" s="77">
        <f t="shared" si="8"/>
        <v>0</v>
      </c>
      <c r="R64" s="77">
        <f t="shared" si="8"/>
        <v>0</v>
      </c>
      <c r="S64" s="77">
        <f t="shared" si="8"/>
        <v>0</v>
      </c>
      <c r="T64" s="77">
        <f t="shared" si="8"/>
        <v>0</v>
      </c>
      <c r="U64" s="77">
        <f t="shared" si="8"/>
        <v>1.374551724137931</v>
      </c>
      <c r="V64" s="77">
        <f t="shared" si="8"/>
        <v>0</v>
      </c>
      <c r="W64" s="77">
        <f t="shared" si="8"/>
        <v>0</v>
      </c>
      <c r="X64" s="77">
        <f t="shared" si="8"/>
        <v>0</v>
      </c>
      <c r="Y64" s="77">
        <f t="shared" si="8"/>
        <v>0</v>
      </c>
      <c r="Z64" s="77">
        <f t="shared" si="8"/>
        <v>0</v>
      </c>
      <c r="AA64" s="77">
        <f t="shared" si="8"/>
        <v>0.13239845261121858</v>
      </c>
      <c r="AB64" s="77">
        <f t="shared" si="8"/>
        <v>0</v>
      </c>
      <c r="AC64" s="77">
        <f t="shared" si="8"/>
        <v>6.7089655172413796</v>
      </c>
      <c r="AD64" s="77">
        <f t="shared" si="8"/>
        <v>3.7407407407407409</v>
      </c>
      <c r="AE64" s="77">
        <f t="shared" si="8"/>
        <v>0.7436521739130435</v>
      </c>
      <c r="AF64" s="77">
        <f t="shared" si="8"/>
        <v>0.73363572071320848</v>
      </c>
      <c r="AG64" s="86"/>
      <c r="AH64" s="77">
        <v>0.20531286878730828</v>
      </c>
    </row>
    <row r="65" spans="1:34" x14ac:dyDescent="0.2">
      <c r="A65" s="3" t="s">
        <v>11</v>
      </c>
      <c r="B65" s="77">
        <f t="shared" ref="B65:AF65" si="9">B17/(B$9/1000)</f>
        <v>0.63065090765141663</v>
      </c>
      <c r="C65" s="77">
        <f t="shared" si="9"/>
        <v>3.7231204527081649</v>
      </c>
      <c r="D65" s="77">
        <f t="shared" si="9"/>
        <v>9.1324998074503866E-2</v>
      </c>
      <c r="E65" s="77">
        <f t="shared" si="9"/>
        <v>0.50416666666666665</v>
      </c>
      <c r="F65" s="77">
        <f t="shared" si="9"/>
        <v>9.8416444013047097E-2</v>
      </c>
      <c r="G65" s="77">
        <f t="shared" si="9"/>
        <v>0.35916411391829184</v>
      </c>
      <c r="H65" s="77">
        <f t="shared" si="9"/>
        <v>0.31922043010752688</v>
      </c>
      <c r="I65" s="77">
        <f t="shared" si="9"/>
        <v>0</v>
      </c>
      <c r="J65" s="77">
        <f t="shared" si="9"/>
        <v>0</v>
      </c>
      <c r="K65" s="77">
        <f t="shared" si="9"/>
        <v>0</v>
      </c>
      <c r="L65" s="77">
        <f t="shared" si="9"/>
        <v>0.36</v>
      </c>
      <c r="M65" s="77">
        <f t="shared" si="9"/>
        <v>0.32065944022717979</v>
      </c>
      <c r="N65" s="77">
        <f t="shared" si="9"/>
        <v>1.6611840475600694</v>
      </c>
      <c r="O65" s="77">
        <f t="shared" si="9"/>
        <v>0.24697885488075697</v>
      </c>
      <c r="P65" s="77">
        <f t="shared" si="9"/>
        <v>0.27412980109739371</v>
      </c>
      <c r="Q65" s="77">
        <f t="shared" si="9"/>
        <v>0.33779524785674536</v>
      </c>
      <c r="R65" s="77">
        <f t="shared" si="9"/>
        <v>0.3570675019882168</v>
      </c>
      <c r="S65" s="77">
        <f t="shared" si="9"/>
        <v>0.57719070880271162</v>
      </c>
      <c r="T65" s="77">
        <f t="shared" si="9"/>
        <v>0.50214801796524111</v>
      </c>
      <c r="U65" s="77">
        <f t="shared" si="9"/>
        <v>2.4137931034482758</v>
      </c>
      <c r="V65" s="77">
        <f t="shared" si="9"/>
        <v>2.3212311840035946</v>
      </c>
      <c r="W65" s="77">
        <f t="shared" si="9"/>
        <v>0.52046181916070944</v>
      </c>
      <c r="X65" s="77">
        <f t="shared" si="9"/>
        <v>0.50125440721464032</v>
      </c>
      <c r="Y65" s="77">
        <f t="shared" si="9"/>
        <v>2.8695652173913042</v>
      </c>
      <c r="Z65" s="77">
        <f t="shared" si="9"/>
        <v>0.54738532277487861</v>
      </c>
      <c r="AA65" s="77">
        <f t="shared" si="9"/>
        <v>0.5</v>
      </c>
      <c r="AB65" s="77">
        <f t="shared" si="9"/>
        <v>0.62412866659305877</v>
      </c>
      <c r="AC65" s="77">
        <f t="shared" si="9"/>
        <v>12.068965517241379</v>
      </c>
      <c r="AD65" s="77">
        <f t="shared" si="9"/>
        <v>12.962962962962964</v>
      </c>
      <c r="AE65" s="77">
        <f t="shared" si="9"/>
        <v>1.5217391304347827</v>
      </c>
      <c r="AF65" s="77">
        <f t="shared" si="9"/>
        <v>3.9017246960890897</v>
      </c>
      <c r="AG65" s="86"/>
      <c r="AH65" s="77">
        <v>0.33704970834415093</v>
      </c>
    </row>
    <row r="66" spans="1:34" x14ac:dyDescent="0.2">
      <c r="A66" s="3" t="s">
        <v>73</v>
      </c>
      <c r="B66" s="77">
        <f t="shared" ref="B66:AF66" si="10">B18/(B$9/1000)</f>
        <v>0</v>
      </c>
      <c r="C66" s="77">
        <f t="shared" si="10"/>
        <v>0</v>
      </c>
      <c r="D66" s="77">
        <f t="shared" si="10"/>
        <v>0</v>
      </c>
      <c r="E66" s="77">
        <f t="shared" si="10"/>
        <v>0</v>
      </c>
      <c r="F66" s="77">
        <f t="shared" si="10"/>
        <v>0</v>
      </c>
      <c r="G66" s="77">
        <f t="shared" si="10"/>
        <v>0</v>
      </c>
      <c r="H66" s="77">
        <f t="shared" si="10"/>
        <v>0</v>
      </c>
      <c r="I66" s="77">
        <f t="shared" si="10"/>
        <v>0</v>
      </c>
      <c r="J66" s="77">
        <f t="shared" si="10"/>
        <v>0</v>
      </c>
      <c r="K66" s="77">
        <f t="shared" si="10"/>
        <v>0</v>
      </c>
      <c r="L66" s="77">
        <f t="shared" si="10"/>
        <v>0</v>
      </c>
      <c r="M66" s="77">
        <f t="shared" si="10"/>
        <v>0</v>
      </c>
      <c r="N66" s="77">
        <f t="shared" si="10"/>
        <v>0</v>
      </c>
      <c r="O66" s="77">
        <f t="shared" si="10"/>
        <v>0</v>
      </c>
      <c r="P66" s="77">
        <f t="shared" si="10"/>
        <v>0</v>
      </c>
      <c r="Q66" s="77">
        <f t="shared" si="10"/>
        <v>0</v>
      </c>
      <c r="R66" s="77">
        <f t="shared" si="10"/>
        <v>0</v>
      </c>
      <c r="S66" s="77">
        <f t="shared" si="10"/>
        <v>0</v>
      </c>
      <c r="T66" s="77">
        <f t="shared" si="10"/>
        <v>0</v>
      </c>
      <c r="U66" s="77">
        <f t="shared" si="10"/>
        <v>0</v>
      </c>
      <c r="V66" s="77">
        <f t="shared" si="10"/>
        <v>0</v>
      </c>
      <c r="W66" s="77">
        <f t="shared" si="10"/>
        <v>0</v>
      </c>
      <c r="X66" s="77">
        <f t="shared" si="10"/>
        <v>0</v>
      </c>
      <c r="Y66" s="77">
        <f t="shared" si="10"/>
        <v>0</v>
      </c>
      <c r="Z66" s="77">
        <f t="shared" si="10"/>
        <v>0</v>
      </c>
      <c r="AA66" s="77">
        <f t="shared" si="10"/>
        <v>0</v>
      </c>
      <c r="AB66" s="77">
        <f t="shared" si="10"/>
        <v>0</v>
      </c>
      <c r="AC66" s="77">
        <f t="shared" si="10"/>
        <v>0</v>
      </c>
      <c r="AD66" s="77">
        <f t="shared" si="10"/>
        <v>0</v>
      </c>
      <c r="AE66" s="77">
        <f t="shared" si="10"/>
        <v>0</v>
      </c>
      <c r="AF66" s="77">
        <f t="shared" si="10"/>
        <v>0</v>
      </c>
      <c r="AG66" s="86"/>
      <c r="AH66" s="77">
        <v>0</v>
      </c>
    </row>
    <row r="67" spans="1:34" x14ac:dyDescent="0.2">
      <c r="A67" s="3" t="s">
        <v>12</v>
      </c>
      <c r="B67" s="77">
        <f t="shared" ref="B67:AF67" si="11">B19/(B$9/1000)</f>
        <v>4.2526720579087261E-2</v>
      </c>
      <c r="C67" s="77">
        <f t="shared" si="11"/>
        <v>0.14292643492320128</v>
      </c>
      <c r="D67" s="77">
        <f t="shared" si="11"/>
        <v>5.7857307899668812E-3</v>
      </c>
      <c r="E67" s="77">
        <f t="shared" si="11"/>
        <v>0</v>
      </c>
      <c r="F67" s="77">
        <f t="shared" si="11"/>
        <v>1.8946422507965797E-3</v>
      </c>
      <c r="G67" s="77">
        <f t="shared" si="11"/>
        <v>0</v>
      </c>
      <c r="H67" s="77">
        <f t="shared" si="11"/>
        <v>2.9905913978494625E-3</v>
      </c>
      <c r="I67" s="77">
        <f t="shared" si="11"/>
        <v>6.2411583589914287E-3</v>
      </c>
      <c r="J67" s="77">
        <f t="shared" si="11"/>
        <v>9.2652766495171044E-3</v>
      </c>
      <c r="K67" s="77">
        <f t="shared" si="11"/>
        <v>7.0233661990854188E-3</v>
      </c>
      <c r="L67" s="77">
        <f t="shared" si="11"/>
        <v>7.92E-3</v>
      </c>
      <c r="M67" s="77">
        <f t="shared" si="11"/>
        <v>3.5977503011016452E-3</v>
      </c>
      <c r="N67" s="77">
        <f t="shared" si="11"/>
        <v>3.4951696804557841E-2</v>
      </c>
      <c r="O67" s="77">
        <f t="shared" si="11"/>
        <v>1.4791928164526408E-3</v>
      </c>
      <c r="P67" s="77">
        <f t="shared" si="11"/>
        <v>1.6418038408779149E-3</v>
      </c>
      <c r="Q67" s="77">
        <f t="shared" si="11"/>
        <v>1.4595969201941434E-3</v>
      </c>
      <c r="R67" s="77">
        <f t="shared" si="11"/>
        <v>5.4101136664881332E-3</v>
      </c>
      <c r="S67" s="77">
        <f t="shared" si="11"/>
        <v>1.8163692553085434E-2</v>
      </c>
      <c r="T67" s="77">
        <f t="shared" si="11"/>
        <v>1.80531146260496E-2</v>
      </c>
      <c r="U67" s="77">
        <f t="shared" si="11"/>
        <v>0</v>
      </c>
      <c r="V67" s="77">
        <f t="shared" si="11"/>
        <v>0.19141765895304427</v>
      </c>
      <c r="W67" s="77">
        <f t="shared" si="11"/>
        <v>1.2741901713875512E-2</v>
      </c>
      <c r="X67" s="77">
        <f t="shared" si="11"/>
        <v>1.3700141510565323E-2</v>
      </c>
      <c r="Y67" s="77">
        <f t="shared" si="11"/>
        <v>0</v>
      </c>
      <c r="Z67" s="77">
        <f t="shared" si="11"/>
        <v>0.15511440353245995</v>
      </c>
      <c r="AA67" s="77">
        <f t="shared" si="11"/>
        <v>2.0538069280815897E-2</v>
      </c>
      <c r="AB67" s="77">
        <f t="shared" si="11"/>
        <v>8.3029700783924035E-3</v>
      </c>
      <c r="AC67" s="77">
        <f t="shared" si="11"/>
        <v>0</v>
      </c>
      <c r="AD67" s="77">
        <f t="shared" si="11"/>
        <v>0</v>
      </c>
      <c r="AE67" s="77">
        <f t="shared" si="11"/>
        <v>0</v>
      </c>
      <c r="AF67" s="77">
        <f t="shared" si="11"/>
        <v>0</v>
      </c>
      <c r="AG67" s="86"/>
      <c r="AH67" s="77">
        <v>1.2077520856146811E-2</v>
      </c>
    </row>
    <row r="68" spans="1:34" x14ac:dyDescent="0.2">
      <c r="A68" s="3" t="s">
        <v>13</v>
      </c>
      <c r="B68" s="77">
        <f t="shared" ref="B68:AF68" si="12">B20/(B$9/1000)</f>
        <v>1.1875812927670645E-2</v>
      </c>
      <c r="C68" s="77">
        <f t="shared" si="12"/>
        <v>6.4672594987873894E-2</v>
      </c>
      <c r="D68" s="77">
        <f t="shared" si="12"/>
        <v>1.5403969089368693E-4</v>
      </c>
      <c r="E68" s="77">
        <f t="shared" si="12"/>
        <v>4.1666666666666666E-3</v>
      </c>
      <c r="F68" s="77">
        <f t="shared" si="12"/>
        <v>1.0803988215078251E-3</v>
      </c>
      <c r="G68" s="77">
        <f t="shared" si="12"/>
        <v>0</v>
      </c>
      <c r="H68" s="77">
        <f t="shared" si="12"/>
        <v>0</v>
      </c>
      <c r="I68" s="77">
        <f t="shared" si="12"/>
        <v>8.3215444786552389E-3</v>
      </c>
      <c r="J68" s="77">
        <f t="shared" si="12"/>
        <v>9.0260853867677581E-3</v>
      </c>
      <c r="K68" s="77">
        <f t="shared" si="12"/>
        <v>1.8330213981129526E-2</v>
      </c>
      <c r="L68" s="77">
        <f t="shared" si="12"/>
        <v>0</v>
      </c>
      <c r="M68" s="77">
        <f t="shared" si="12"/>
        <v>0</v>
      </c>
      <c r="N68" s="77">
        <f t="shared" si="12"/>
        <v>0</v>
      </c>
      <c r="O68" s="77">
        <f t="shared" si="12"/>
        <v>5.020758907019407E-2</v>
      </c>
      <c r="P68" s="77">
        <f t="shared" si="12"/>
        <v>5.5727023319615911E-2</v>
      </c>
      <c r="Q68" s="77">
        <f t="shared" si="12"/>
        <v>0</v>
      </c>
      <c r="R68" s="77">
        <f t="shared" si="12"/>
        <v>0</v>
      </c>
      <c r="S68" s="77">
        <f t="shared" si="12"/>
        <v>3.2898016149935198E-2</v>
      </c>
      <c r="T68" s="77">
        <f t="shared" si="12"/>
        <v>1.611013473930873E-2</v>
      </c>
      <c r="U68" s="77">
        <f t="shared" si="12"/>
        <v>0</v>
      </c>
      <c r="V68" s="77">
        <f t="shared" si="12"/>
        <v>0.20220175241518759</v>
      </c>
      <c r="W68" s="77">
        <f t="shared" si="12"/>
        <v>1.420751951664523E-2</v>
      </c>
      <c r="X68" s="77">
        <f t="shared" si="12"/>
        <v>1.3445902189816037E-2</v>
      </c>
      <c r="Y68" s="77">
        <f t="shared" si="12"/>
        <v>0.39130434782608697</v>
      </c>
      <c r="Z68" s="77">
        <f t="shared" si="12"/>
        <v>0</v>
      </c>
      <c r="AA68" s="77">
        <f t="shared" si="12"/>
        <v>6.5939862845085283E-3</v>
      </c>
      <c r="AB68" s="77">
        <f t="shared" si="12"/>
        <v>2.3311619005557397E-2</v>
      </c>
      <c r="AC68" s="77">
        <f t="shared" si="12"/>
        <v>0</v>
      </c>
      <c r="AD68" s="77">
        <f t="shared" si="12"/>
        <v>0</v>
      </c>
      <c r="AE68" s="77">
        <f t="shared" si="12"/>
        <v>0</v>
      </c>
      <c r="AF68" s="77">
        <f t="shared" si="12"/>
        <v>0</v>
      </c>
      <c r="AG68" s="86"/>
      <c r="AH68" s="77">
        <v>1.2921278152728909E-2</v>
      </c>
    </row>
    <row r="69" spans="1:34" x14ac:dyDescent="0.2">
      <c r="A69" s="3" t="s">
        <v>14</v>
      </c>
      <c r="B69" s="77">
        <f t="shared" ref="B69:AF69" si="13">B21/(B$9/1000)</f>
        <v>0</v>
      </c>
      <c r="C69" s="77">
        <f t="shared" si="13"/>
        <v>0</v>
      </c>
      <c r="D69" s="77">
        <f t="shared" si="13"/>
        <v>0.10000051346563631</v>
      </c>
      <c r="E69" s="77">
        <f t="shared" si="13"/>
        <v>0</v>
      </c>
      <c r="F69" s="77">
        <f t="shared" si="13"/>
        <v>0.11371969309813794</v>
      </c>
      <c r="G69" s="77">
        <f t="shared" si="13"/>
        <v>0</v>
      </c>
      <c r="H69" s="77">
        <f t="shared" si="13"/>
        <v>0</v>
      </c>
      <c r="I69" s="77">
        <f t="shared" si="13"/>
        <v>6.4442040442706169E-2</v>
      </c>
      <c r="J69" s="77">
        <f t="shared" si="13"/>
        <v>0</v>
      </c>
      <c r="K69" s="77">
        <f t="shared" si="13"/>
        <v>0.13506473459779653</v>
      </c>
      <c r="L69" s="77">
        <f t="shared" si="13"/>
        <v>0</v>
      </c>
      <c r="M69" s="77">
        <f t="shared" si="13"/>
        <v>0</v>
      </c>
      <c r="N69" s="77">
        <f t="shared" si="13"/>
        <v>0</v>
      </c>
      <c r="O69" s="77">
        <f t="shared" si="13"/>
        <v>8.3638119146470985E-2</v>
      </c>
      <c r="P69" s="77">
        <f t="shared" si="13"/>
        <v>9.2832647462277096E-2</v>
      </c>
      <c r="Q69" s="77">
        <f t="shared" si="13"/>
        <v>0.10566580020710496</v>
      </c>
      <c r="R69" s="77">
        <f t="shared" si="13"/>
        <v>0.18773094422713821</v>
      </c>
      <c r="S69" s="77">
        <f t="shared" si="13"/>
        <v>0</v>
      </c>
      <c r="T69" s="77">
        <f t="shared" si="13"/>
        <v>0</v>
      </c>
      <c r="U69" s="77">
        <f t="shared" si="13"/>
        <v>0.34482758620689657</v>
      </c>
      <c r="V69" s="77">
        <f t="shared" si="13"/>
        <v>0</v>
      </c>
      <c r="W69" s="77">
        <f t="shared" si="13"/>
        <v>8.9731702210390937E-2</v>
      </c>
      <c r="X69" s="77">
        <f t="shared" si="13"/>
        <v>0</v>
      </c>
      <c r="Y69" s="77">
        <f t="shared" si="13"/>
        <v>1.4086956521739131</v>
      </c>
      <c r="Z69" s="77">
        <f t="shared" si="13"/>
        <v>0</v>
      </c>
      <c r="AA69" s="77">
        <f t="shared" si="13"/>
        <v>0</v>
      </c>
      <c r="AB69" s="77">
        <f t="shared" si="13"/>
        <v>0</v>
      </c>
      <c r="AC69" s="77">
        <f t="shared" si="13"/>
        <v>1.7241379310344827</v>
      </c>
      <c r="AD69" s="77">
        <f t="shared" si="13"/>
        <v>1.8518518518518519</v>
      </c>
      <c r="AE69" s="77">
        <f t="shared" si="13"/>
        <v>0.21739130434782608</v>
      </c>
      <c r="AF69" s="77">
        <f t="shared" si="13"/>
        <v>0</v>
      </c>
      <c r="AG69" s="86"/>
      <c r="AH69" s="77">
        <v>0.12332689454588186</v>
      </c>
    </row>
    <row r="70" spans="1:34" x14ac:dyDescent="0.2">
      <c r="A70" s="3" t="s">
        <v>15</v>
      </c>
      <c r="B70" s="77">
        <f t="shared" ref="B70:AF70" si="14">B22/(B$9/1000)</f>
        <v>0</v>
      </c>
      <c r="C70" s="77">
        <f t="shared" si="14"/>
        <v>0</v>
      </c>
      <c r="D70" s="77">
        <f t="shared" si="14"/>
        <v>0</v>
      </c>
      <c r="E70" s="77">
        <f t="shared" si="14"/>
        <v>0</v>
      </c>
      <c r="F70" s="77">
        <f t="shared" si="14"/>
        <v>0</v>
      </c>
      <c r="G70" s="77">
        <f t="shared" si="14"/>
        <v>0</v>
      </c>
      <c r="H70" s="77">
        <f t="shared" si="14"/>
        <v>0</v>
      </c>
      <c r="I70" s="77">
        <f t="shared" si="14"/>
        <v>0</v>
      </c>
      <c r="J70" s="77">
        <f t="shared" si="14"/>
        <v>0</v>
      </c>
      <c r="K70" s="77">
        <f t="shared" si="14"/>
        <v>0</v>
      </c>
      <c r="L70" s="77">
        <f t="shared" si="14"/>
        <v>0</v>
      </c>
      <c r="M70" s="77">
        <f t="shared" si="14"/>
        <v>0</v>
      </c>
      <c r="N70" s="77">
        <f t="shared" si="14"/>
        <v>0</v>
      </c>
      <c r="O70" s="77">
        <f t="shared" si="14"/>
        <v>0</v>
      </c>
      <c r="P70" s="77">
        <f t="shared" si="14"/>
        <v>0</v>
      </c>
      <c r="Q70" s="77">
        <f t="shared" si="14"/>
        <v>0</v>
      </c>
      <c r="R70" s="77">
        <f t="shared" si="14"/>
        <v>0</v>
      </c>
      <c r="S70" s="77">
        <f t="shared" si="14"/>
        <v>0</v>
      </c>
      <c r="T70" s="77">
        <f t="shared" si="14"/>
        <v>0</v>
      </c>
      <c r="U70" s="77">
        <f t="shared" si="14"/>
        <v>0</v>
      </c>
      <c r="V70" s="77">
        <f t="shared" si="14"/>
        <v>0</v>
      </c>
      <c r="W70" s="77">
        <f t="shared" si="14"/>
        <v>0</v>
      </c>
      <c r="X70" s="77">
        <f t="shared" si="14"/>
        <v>0</v>
      </c>
      <c r="Y70" s="77">
        <f t="shared" si="14"/>
        <v>0</v>
      </c>
      <c r="Z70" s="77">
        <f t="shared" si="14"/>
        <v>0</v>
      </c>
      <c r="AA70" s="77">
        <f t="shared" si="14"/>
        <v>0</v>
      </c>
      <c r="AB70" s="77">
        <f t="shared" si="14"/>
        <v>0</v>
      </c>
      <c r="AC70" s="77">
        <f t="shared" si="14"/>
        <v>0</v>
      </c>
      <c r="AD70" s="77">
        <f t="shared" si="14"/>
        <v>0</v>
      </c>
      <c r="AE70" s="77">
        <f t="shared" si="14"/>
        <v>0</v>
      </c>
      <c r="AF70" s="77">
        <f t="shared" si="14"/>
        <v>0</v>
      </c>
      <c r="AG70" s="86"/>
      <c r="AH70" s="77">
        <v>0</v>
      </c>
    </row>
    <row r="71" spans="1:34" x14ac:dyDescent="0.2">
      <c r="A71" s="3" t="s">
        <v>16</v>
      </c>
      <c r="B71" s="77">
        <f t="shared" ref="B71:AF71" si="15">B23/(B$9/1000)</f>
        <v>0</v>
      </c>
      <c r="C71" s="77">
        <f t="shared" si="15"/>
        <v>0</v>
      </c>
      <c r="D71" s="77">
        <f t="shared" si="15"/>
        <v>0</v>
      </c>
      <c r="E71" s="77">
        <f t="shared" si="15"/>
        <v>0</v>
      </c>
      <c r="F71" s="77">
        <f t="shared" si="15"/>
        <v>0</v>
      </c>
      <c r="G71" s="77">
        <f t="shared" si="15"/>
        <v>0</v>
      </c>
      <c r="H71" s="77">
        <f t="shared" si="15"/>
        <v>0</v>
      </c>
      <c r="I71" s="77">
        <f t="shared" si="15"/>
        <v>0</v>
      </c>
      <c r="J71" s="77">
        <f t="shared" si="15"/>
        <v>0</v>
      </c>
      <c r="K71" s="77">
        <f t="shared" si="15"/>
        <v>0</v>
      </c>
      <c r="L71" s="77">
        <f t="shared" si="15"/>
        <v>0.20206666666666667</v>
      </c>
      <c r="M71" s="77">
        <f t="shared" si="15"/>
        <v>0</v>
      </c>
      <c r="N71" s="77">
        <f t="shared" si="15"/>
        <v>0</v>
      </c>
      <c r="O71" s="77">
        <f t="shared" si="15"/>
        <v>0</v>
      </c>
      <c r="P71" s="77">
        <f t="shared" si="15"/>
        <v>0</v>
      </c>
      <c r="Q71" s="77">
        <f t="shared" si="15"/>
        <v>0</v>
      </c>
      <c r="R71" s="77">
        <f t="shared" si="15"/>
        <v>0</v>
      </c>
      <c r="S71" s="77">
        <f t="shared" si="15"/>
        <v>0</v>
      </c>
      <c r="T71" s="77">
        <f t="shared" si="15"/>
        <v>0</v>
      </c>
      <c r="U71" s="77">
        <f t="shared" si="15"/>
        <v>0</v>
      </c>
      <c r="V71" s="77">
        <f t="shared" si="15"/>
        <v>0</v>
      </c>
      <c r="W71" s="77">
        <f t="shared" si="15"/>
        <v>0</v>
      </c>
      <c r="X71" s="77">
        <f t="shared" si="15"/>
        <v>0</v>
      </c>
      <c r="Y71" s="77">
        <f t="shared" si="15"/>
        <v>0</v>
      </c>
      <c r="Z71" s="77">
        <f t="shared" si="15"/>
        <v>0</v>
      </c>
      <c r="AA71" s="77">
        <f t="shared" si="15"/>
        <v>0</v>
      </c>
      <c r="AB71" s="77">
        <f t="shared" si="15"/>
        <v>0</v>
      </c>
      <c r="AC71" s="77">
        <f t="shared" si="15"/>
        <v>0</v>
      </c>
      <c r="AD71" s="77">
        <f t="shared" si="15"/>
        <v>0</v>
      </c>
      <c r="AE71" s="77">
        <f t="shared" si="15"/>
        <v>0</v>
      </c>
      <c r="AF71" s="77">
        <f t="shared" si="15"/>
        <v>0</v>
      </c>
      <c r="AG71" s="86"/>
      <c r="AH71" s="77">
        <v>0.20206666666666664</v>
      </c>
    </row>
    <row r="72" spans="1:34" x14ac:dyDescent="0.2">
      <c r="A72" s="3" t="s">
        <v>26</v>
      </c>
      <c r="B72" s="77">
        <f t="shared" ref="B72:AF72" si="16">B24/(B$9/1000)</f>
        <v>0</v>
      </c>
      <c r="C72" s="77">
        <f t="shared" si="16"/>
        <v>0</v>
      </c>
      <c r="D72" s="77">
        <f t="shared" si="16"/>
        <v>0</v>
      </c>
      <c r="E72" s="77">
        <f t="shared" si="16"/>
        <v>0</v>
      </c>
      <c r="F72" s="77">
        <f t="shared" si="16"/>
        <v>0</v>
      </c>
      <c r="G72" s="77">
        <f t="shared" si="16"/>
        <v>0</v>
      </c>
      <c r="H72" s="77">
        <f t="shared" si="16"/>
        <v>0</v>
      </c>
      <c r="I72" s="77">
        <f t="shared" si="16"/>
        <v>0</v>
      </c>
      <c r="J72" s="77">
        <f t="shared" si="16"/>
        <v>0</v>
      </c>
      <c r="K72" s="77">
        <f t="shared" si="16"/>
        <v>0</v>
      </c>
      <c r="L72" s="77">
        <f t="shared" si="16"/>
        <v>0</v>
      </c>
      <c r="M72" s="77">
        <f t="shared" si="16"/>
        <v>0</v>
      </c>
      <c r="N72" s="77">
        <f t="shared" si="16"/>
        <v>0</v>
      </c>
      <c r="O72" s="77">
        <f t="shared" si="16"/>
        <v>0</v>
      </c>
      <c r="P72" s="77">
        <f t="shared" si="16"/>
        <v>0</v>
      </c>
      <c r="Q72" s="77">
        <f t="shared" si="16"/>
        <v>0</v>
      </c>
      <c r="R72" s="77">
        <f t="shared" si="16"/>
        <v>1.2984272799571518E-2</v>
      </c>
      <c r="S72" s="77">
        <f t="shared" si="16"/>
        <v>0</v>
      </c>
      <c r="T72" s="77">
        <f t="shared" si="16"/>
        <v>0</v>
      </c>
      <c r="U72" s="77">
        <f t="shared" si="16"/>
        <v>0.51724137931034486</v>
      </c>
      <c r="V72" s="77">
        <f t="shared" si="16"/>
        <v>0</v>
      </c>
      <c r="W72" s="77">
        <f t="shared" si="16"/>
        <v>0</v>
      </c>
      <c r="X72" s="77">
        <f t="shared" si="16"/>
        <v>0</v>
      </c>
      <c r="Y72" s="77">
        <f t="shared" si="16"/>
        <v>0.13043478260869565</v>
      </c>
      <c r="Z72" s="77">
        <f t="shared" si="16"/>
        <v>0</v>
      </c>
      <c r="AA72" s="77">
        <f t="shared" si="16"/>
        <v>0</v>
      </c>
      <c r="AB72" s="77">
        <f t="shared" si="16"/>
        <v>0</v>
      </c>
      <c r="AC72" s="77">
        <f t="shared" si="16"/>
        <v>1.896551724137931</v>
      </c>
      <c r="AD72" s="77">
        <f t="shared" si="16"/>
        <v>2.0370370370370372</v>
      </c>
      <c r="AE72" s="77">
        <f t="shared" si="16"/>
        <v>0.28260869565217389</v>
      </c>
      <c r="AF72" s="77">
        <f t="shared" si="16"/>
        <v>0.16721677268953242</v>
      </c>
      <c r="AG72" s="86"/>
      <c r="AH72" s="77">
        <v>4.0495445906450628E-2</v>
      </c>
    </row>
    <row r="73" spans="1:34" x14ac:dyDescent="0.2">
      <c r="A73" s="3" t="s">
        <v>27</v>
      </c>
      <c r="B73" s="77">
        <f t="shared" ref="B73:AF73" si="17">B25/(B$9/1000)</f>
        <v>0</v>
      </c>
      <c r="C73" s="77">
        <f t="shared" si="17"/>
        <v>0</v>
      </c>
      <c r="D73" s="77">
        <f t="shared" si="17"/>
        <v>0</v>
      </c>
      <c r="E73" s="77">
        <f t="shared" si="17"/>
        <v>0</v>
      </c>
      <c r="F73" s="77">
        <f t="shared" si="17"/>
        <v>0</v>
      </c>
      <c r="G73" s="77">
        <f t="shared" si="17"/>
        <v>0</v>
      </c>
      <c r="H73" s="77">
        <f t="shared" si="17"/>
        <v>0</v>
      </c>
      <c r="I73" s="77">
        <f t="shared" si="17"/>
        <v>0</v>
      </c>
      <c r="J73" s="77">
        <f t="shared" si="17"/>
        <v>0</v>
      </c>
      <c r="K73" s="77">
        <f t="shared" si="17"/>
        <v>0</v>
      </c>
      <c r="L73" s="77">
        <f t="shared" si="17"/>
        <v>0</v>
      </c>
      <c r="M73" s="77">
        <f t="shared" si="17"/>
        <v>0</v>
      </c>
      <c r="N73" s="77">
        <f t="shared" si="17"/>
        <v>0</v>
      </c>
      <c r="O73" s="77">
        <f t="shared" si="17"/>
        <v>0</v>
      </c>
      <c r="P73" s="77">
        <f t="shared" si="17"/>
        <v>0</v>
      </c>
      <c r="Q73" s="77">
        <f t="shared" si="17"/>
        <v>0</v>
      </c>
      <c r="R73" s="77">
        <f t="shared" si="17"/>
        <v>1.6230340999464399E-2</v>
      </c>
      <c r="S73" s="77">
        <f t="shared" si="17"/>
        <v>0</v>
      </c>
      <c r="T73" s="77">
        <f t="shared" si="17"/>
        <v>0</v>
      </c>
      <c r="U73" s="77">
        <f t="shared" si="17"/>
        <v>0.48275862068965519</v>
      </c>
      <c r="V73" s="77">
        <f t="shared" si="17"/>
        <v>0</v>
      </c>
      <c r="W73" s="77">
        <f t="shared" si="17"/>
        <v>0</v>
      </c>
      <c r="X73" s="77">
        <f t="shared" si="17"/>
        <v>0</v>
      </c>
      <c r="Y73" s="77">
        <f t="shared" si="17"/>
        <v>0.43478260869565216</v>
      </c>
      <c r="Z73" s="77">
        <f t="shared" si="17"/>
        <v>3.6981352406670803E-2</v>
      </c>
      <c r="AA73" s="77">
        <f t="shared" si="17"/>
        <v>0</v>
      </c>
      <c r="AB73" s="77">
        <f t="shared" si="17"/>
        <v>0</v>
      </c>
      <c r="AC73" s="77">
        <f t="shared" si="17"/>
        <v>2.2413793103448274</v>
      </c>
      <c r="AD73" s="77">
        <f t="shared" si="17"/>
        <v>2.4074074074074074</v>
      </c>
      <c r="AE73" s="77">
        <f t="shared" si="17"/>
        <v>0.2391304347826087</v>
      </c>
      <c r="AF73" s="77">
        <f t="shared" si="17"/>
        <v>0.22295569691937656</v>
      </c>
      <c r="AG73" s="86"/>
      <c r="AH73" s="77">
        <v>4.5676185192472157E-2</v>
      </c>
    </row>
    <row r="74" spans="1:34" x14ac:dyDescent="0.2">
      <c r="A74" s="3" t="s">
        <v>17</v>
      </c>
      <c r="B74" s="77">
        <f t="shared" ref="B74:AF74" si="18">B26/(B$9/1000)</f>
        <v>5.6551490131764972E-3</v>
      </c>
      <c r="C74" s="77">
        <f t="shared" si="18"/>
        <v>4.042037186742118E-2</v>
      </c>
      <c r="D74" s="77">
        <f t="shared" si="18"/>
        <v>3.5942594541860286E-4</v>
      </c>
      <c r="E74" s="77">
        <f t="shared" si="18"/>
        <v>0</v>
      </c>
      <c r="F74" s="77">
        <f t="shared" si="18"/>
        <v>1.2004431350086946E-4</v>
      </c>
      <c r="G74" s="77">
        <f t="shared" si="18"/>
        <v>0</v>
      </c>
      <c r="H74" s="77">
        <f t="shared" si="18"/>
        <v>0</v>
      </c>
      <c r="I74" s="77">
        <f t="shared" si="18"/>
        <v>0</v>
      </c>
      <c r="J74" s="77">
        <f t="shared" si="18"/>
        <v>4.964346962722267E-3</v>
      </c>
      <c r="K74" s="77">
        <f t="shared" si="18"/>
        <v>0</v>
      </c>
      <c r="L74" s="77">
        <f t="shared" si="18"/>
        <v>0</v>
      </c>
      <c r="M74" s="77">
        <f t="shared" si="18"/>
        <v>0</v>
      </c>
      <c r="N74" s="77">
        <f t="shared" si="18"/>
        <v>1.857815209313847E-2</v>
      </c>
      <c r="O74" s="77">
        <f t="shared" si="18"/>
        <v>9.6553055904219365E-4</v>
      </c>
      <c r="P74" s="77">
        <f t="shared" si="18"/>
        <v>1.0716735253772291E-3</v>
      </c>
      <c r="Q74" s="77">
        <f t="shared" si="18"/>
        <v>1.7610966701184162E-3</v>
      </c>
      <c r="R74" s="77">
        <f t="shared" si="18"/>
        <v>0</v>
      </c>
      <c r="S74" s="77">
        <f t="shared" si="18"/>
        <v>4.9845479015053332E-2</v>
      </c>
      <c r="T74" s="77">
        <f t="shared" si="18"/>
        <v>0</v>
      </c>
      <c r="U74" s="77">
        <f t="shared" si="18"/>
        <v>0</v>
      </c>
      <c r="V74" s="77">
        <f t="shared" si="18"/>
        <v>2.246686137946529E-2</v>
      </c>
      <c r="W74" s="77">
        <f t="shared" si="18"/>
        <v>0</v>
      </c>
      <c r="X74" s="77">
        <f t="shared" si="18"/>
        <v>0</v>
      </c>
      <c r="Y74" s="77">
        <f t="shared" si="18"/>
        <v>0</v>
      </c>
      <c r="Z74" s="77">
        <f t="shared" si="18"/>
        <v>0</v>
      </c>
      <c r="AA74" s="77">
        <f t="shared" si="18"/>
        <v>0</v>
      </c>
      <c r="AB74" s="77">
        <f t="shared" si="18"/>
        <v>0</v>
      </c>
      <c r="AC74" s="77">
        <f t="shared" si="18"/>
        <v>0</v>
      </c>
      <c r="AD74" s="77">
        <f t="shared" si="18"/>
        <v>0</v>
      </c>
      <c r="AE74" s="77">
        <f t="shared" si="18"/>
        <v>0</v>
      </c>
      <c r="AF74" s="77">
        <f t="shared" si="18"/>
        <v>0</v>
      </c>
      <c r="AG74" s="86"/>
      <c r="AH74" s="77">
        <v>1.9969498894611428E-3</v>
      </c>
    </row>
    <row r="75" spans="1:34" x14ac:dyDescent="0.2">
      <c r="A75" s="3" t="s">
        <v>18</v>
      </c>
      <c r="B75" s="77">
        <f t="shared" ref="B75:AF75" si="19">B27/(B$9/1000)</f>
        <v>0</v>
      </c>
      <c r="C75" s="77">
        <f t="shared" si="19"/>
        <v>0</v>
      </c>
      <c r="D75" s="77">
        <f t="shared" si="19"/>
        <v>2.207902236142846E-3</v>
      </c>
      <c r="E75" s="77">
        <f t="shared" si="19"/>
        <v>0</v>
      </c>
      <c r="F75" s="77">
        <f t="shared" si="19"/>
        <v>1.5777252631542845E-3</v>
      </c>
      <c r="G75" s="77">
        <f t="shared" si="19"/>
        <v>0</v>
      </c>
      <c r="H75" s="77">
        <f t="shared" si="19"/>
        <v>0</v>
      </c>
      <c r="I75" s="77">
        <f t="shared" si="19"/>
        <v>0</v>
      </c>
      <c r="J75" s="77">
        <f t="shared" si="19"/>
        <v>0</v>
      </c>
      <c r="K75" s="77">
        <f t="shared" si="19"/>
        <v>0</v>
      </c>
      <c r="L75" s="77">
        <f t="shared" si="19"/>
        <v>0</v>
      </c>
      <c r="M75" s="77">
        <f t="shared" si="19"/>
        <v>0</v>
      </c>
      <c r="N75" s="77">
        <f t="shared" si="19"/>
        <v>0</v>
      </c>
      <c r="O75" s="77">
        <f t="shared" si="19"/>
        <v>0</v>
      </c>
      <c r="P75" s="77">
        <f t="shared" si="19"/>
        <v>0</v>
      </c>
      <c r="Q75" s="77">
        <f t="shared" si="19"/>
        <v>5.635509344378932E-3</v>
      </c>
      <c r="R75" s="77">
        <f t="shared" si="19"/>
        <v>0</v>
      </c>
      <c r="S75" s="77">
        <f t="shared" si="19"/>
        <v>0</v>
      </c>
      <c r="T75" s="77">
        <f t="shared" si="19"/>
        <v>0</v>
      </c>
      <c r="U75" s="77">
        <f t="shared" si="19"/>
        <v>0</v>
      </c>
      <c r="V75" s="77">
        <f t="shared" si="19"/>
        <v>0</v>
      </c>
      <c r="W75" s="77">
        <f t="shared" si="19"/>
        <v>0</v>
      </c>
      <c r="X75" s="77">
        <f t="shared" si="19"/>
        <v>0</v>
      </c>
      <c r="Y75" s="77">
        <f t="shared" si="19"/>
        <v>0</v>
      </c>
      <c r="Z75" s="77">
        <f t="shared" si="19"/>
        <v>0</v>
      </c>
      <c r="AA75" s="77">
        <f t="shared" si="19"/>
        <v>0</v>
      </c>
      <c r="AB75" s="77">
        <f t="shared" si="19"/>
        <v>0</v>
      </c>
      <c r="AC75" s="77">
        <f t="shared" si="19"/>
        <v>0</v>
      </c>
      <c r="AD75" s="77">
        <f t="shared" si="19"/>
        <v>0</v>
      </c>
      <c r="AE75" s="77">
        <f t="shared" si="19"/>
        <v>0</v>
      </c>
      <c r="AF75" s="77">
        <f t="shared" si="19"/>
        <v>0</v>
      </c>
      <c r="AG75" s="86"/>
      <c r="AH75" s="77">
        <v>2.689922024094698E-3</v>
      </c>
    </row>
    <row r="76" spans="1:34" x14ac:dyDescent="0.2">
      <c r="A76" s="3" t="s">
        <v>19</v>
      </c>
      <c r="B76" s="77">
        <f t="shared" ref="B76:AF76" si="20">B28/(B$9/1000)</f>
        <v>0.10744783125035344</v>
      </c>
      <c r="C76" s="77">
        <f t="shared" si="20"/>
        <v>0.76798706548100237</v>
      </c>
      <c r="D76" s="77">
        <f t="shared" si="20"/>
        <v>9.7558470899335066E-3</v>
      </c>
      <c r="E76" s="77">
        <f t="shared" si="20"/>
        <v>7.9166666666666663E-2</v>
      </c>
      <c r="F76" s="77">
        <f t="shared" si="20"/>
        <v>1.3033382608665827E-2</v>
      </c>
      <c r="G76" s="77">
        <f t="shared" si="20"/>
        <v>5.7626398956658879E-2</v>
      </c>
      <c r="H76" s="77">
        <f t="shared" si="20"/>
        <v>3.1922043010752688E-2</v>
      </c>
      <c r="I76" s="77">
        <f t="shared" si="20"/>
        <v>3.9527336273612379E-2</v>
      </c>
      <c r="J76" s="77">
        <f t="shared" si="20"/>
        <v>4.2873905587146856E-2</v>
      </c>
      <c r="K76" s="77">
        <f t="shared" si="20"/>
        <v>3.6660427962259053E-2</v>
      </c>
      <c r="L76" s="77">
        <f t="shared" si="20"/>
        <v>6.3333333333333339E-2</v>
      </c>
      <c r="M76" s="77">
        <f t="shared" si="20"/>
        <v>8.397697263013669E-2</v>
      </c>
      <c r="N76" s="77">
        <f t="shared" si="20"/>
        <v>0.23532325984642061</v>
      </c>
      <c r="O76" s="77">
        <f t="shared" si="20"/>
        <v>3.6690161243603359E-2</v>
      </c>
      <c r="P76" s="77">
        <f t="shared" si="20"/>
        <v>4.0723593964334705E-2</v>
      </c>
      <c r="Q76" s="77">
        <f t="shared" si="20"/>
        <v>2.6768669385799925E-2</v>
      </c>
      <c r="R76" s="77">
        <f t="shared" si="20"/>
        <v>3.0837647898982357E-2</v>
      </c>
      <c r="S76" s="77">
        <f t="shared" si="20"/>
        <v>0.18941282025720269</v>
      </c>
      <c r="T76" s="77">
        <f t="shared" si="20"/>
        <v>9.275532122632299E-2</v>
      </c>
      <c r="U76" s="77">
        <f t="shared" si="20"/>
        <v>0.65517241379310343</v>
      </c>
      <c r="V76" s="77">
        <f t="shared" si="20"/>
        <v>0.42687036620984048</v>
      </c>
      <c r="W76" s="77">
        <f t="shared" si="20"/>
        <v>5.683007806658092E-2</v>
      </c>
      <c r="X76" s="77">
        <f t="shared" si="20"/>
        <v>4.557119900223059E-2</v>
      </c>
      <c r="Y76" s="77">
        <f t="shared" si="20"/>
        <v>0.82608695652173914</v>
      </c>
      <c r="Z76" s="77">
        <f t="shared" si="20"/>
        <v>3.4667737109075648E-2</v>
      </c>
      <c r="AA76" s="77">
        <f t="shared" si="20"/>
        <v>8.3523826270441359E-2</v>
      </c>
      <c r="AB76" s="77">
        <f t="shared" si="20"/>
        <v>0.2797099849103824</v>
      </c>
      <c r="AC76" s="77">
        <f t="shared" si="20"/>
        <v>3.2758620689655173</v>
      </c>
      <c r="AD76" s="77">
        <f t="shared" si="20"/>
        <v>3.5185185185185186</v>
      </c>
      <c r="AE76" s="77">
        <f t="shared" si="20"/>
        <v>0.41304347826086957</v>
      </c>
      <c r="AF76" s="77">
        <f t="shared" si="20"/>
        <v>1.0000677785318635</v>
      </c>
      <c r="AG76" s="86"/>
      <c r="AH76" s="77">
        <v>5.0377222053571757E-2</v>
      </c>
    </row>
    <row r="77" spans="1:34" x14ac:dyDescent="0.2">
      <c r="A77" s="3" t="s">
        <v>28</v>
      </c>
      <c r="B77" s="77">
        <f t="shared" ref="B77:AF77" si="21">B29/(B$9/1000)</f>
        <v>0</v>
      </c>
      <c r="C77" s="77">
        <f t="shared" si="21"/>
        <v>0</v>
      </c>
      <c r="D77" s="77">
        <f t="shared" si="21"/>
        <v>0</v>
      </c>
      <c r="E77" s="77">
        <f t="shared" si="21"/>
        <v>0</v>
      </c>
      <c r="F77" s="77">
        <f t="shared" si="21"/>
        <v>0</v>
      </c>
      <c r="G77" s="77">
        <f t="shared" si="21"/>
        <v>0</v>
      </c>
      <c r="H77" s="77">
        <f t="shared" si="21"/>
        <v>0</v>
      </c>
      <c r="I77" s="77">
        <f t="shared" si="21"/>
        <v>0</v>
      </c>
      <c r="J77" s="77">
        <f t="shared" si="21"/>
        <v>0</v>
      </c>
      <c r="K77" s="77">
        <f t="shared" si="21"/>
        <v>0</v>
      </c>
      <c r="L77" s="77">
        <f t="shared" si="21"/>
        <v>0</v>
      </c>
      <c r="M77" s="77">
        <f t="shared" si="21"/>
        <v>0</v>
      </c>
      <c r="N77" s="77">
        <f t="shared" si="21"/>
        <v>0</v>
      </c>
      <c r="O77" s="77">
        <f t="shared" si="21"/>
        <v>0</v>
      </c>
      <c r="P77" s="77">
        <f t="shared" si="21"/>
        <v>0</v>
      </c>
      <c r="Q77" s="77">
        <f t="shared" si="21"/>
        <v>0</v>
      </c>
      <c r="R77" s="77">
        <f t="shared" si="21"/>
        <v>0</v>
      </c>
      <c r="S77" s="77">
        <f t="shared" si="21"/>
        <v>0</v>
      </c>
      <c r="T77" s="77">
        <f t="shared" si="21"/>
        <v>0</v>
      </c>
      <c r="U77" s="77">
        <f t="shared" si="21"/>
        <v>1.5344827586206897</v>
      </c>
      <c r="V77" s="77">
        <f t="shared" si="21"/>
        <v>0</v>
      </c>
      <c r="W77" s="77">
        <f t="shared" si="21"/>
        <v>0</v>
      </c>
      <c r="X77" s="77">
        <f t="shared" si="21"/>
        <v>0</v>
      </c>
      <c r="Y77" s="77">
        <f t="shared" si="21"/>
        <v>2.6086956521739131</v>
      </c>
      <c r="Z77" s="77">
        <f t="shared" si="21"/>
        <v>0</v>
      </c>
      <c r="AA77" s="77">
        <f t="shared" si="21"/>
        <v>4.3959908563390186E-3</v>
      </c>
      <c r="AB77" s="77">
        <f t="shared" si="21"/>
        <v>0</v>
      </c>
      <c r="AC77" s="77">
        <f t="shared" si="21"/>
        <v>2.0689655172413794</v>
      </c>
      <c r="AD77" s="77">
        <f t="shared" si="21"/>
        <v>2.2222222222222223</v>
      </c>
      <c r="AE77" s="77">
        <f t="shared" si="21"/>
        <v>0.46739130434782611</v>
      </c>
      <c r="AF77" s="77">
        <f t="shared" si="21"/>
        <v>0</v>
      </c>
      <c r="AG77" s="86"/>
      <c r="AH77" s="77">
        <v>0.44849708922418913</v>
      </c>
    </row>
    <row r="78" spans="1:34" x14ac:dyDescent="0.2">
      <c r="A78" s="3" t="s">
        <v>29</v>
      </c>
      <c r="B78" s="77">
        <f t="shared" ref="B78:AF78" si="22">B30/(B$9/1000)</f>
        <v>5.6551490131764972E-3</v>
      </c>
      <c r="C78" s="77">
        <f t="shared" si="22"/>
        <v>0</v>
      </c>
      <c r="D78" s="77">
        <f t="shared" si="22"/>
        <v>0</v>
      </c>
      <c r="E78" s="77">
        <f t="shared" si="22"/>
        <v>0</v>
      </c>
      <c r="F78" s="77">
        <f t="shared" si="22"/>
        <v>0</v>
      </c>
      <c r="G78" s="77">
        <f t="shared" si="22"/>
        <v>0</v>
      </c>
      <c r="H78" s="77">
        <f t="shared" si="22"/>
        <v>0</v>
      </c>
      <c r="I78" s="77">
        <f t="shared" si="22"/>
        <v>0</v>
      </c>
      <c r="J78" s="77">
        <f t="shared" si="22"/>
        <v>0</v>
      </c>
      <c r="K78" s="77">
        <f t="shared" si="22"/>
        <v>0</v>
      </c>
      <c r="L78" s="77">
        <f t="shared" si="22"/>
        <v>0</v>
      </c>
      <c r="M78" s="77">
        <f t="shared" si="22"/>
        <v>0</v>
      </c>
      <c r="N78" s="77">
        <f t="shared" si="22"/>
        <v>0</v>
      </c>
      <c r="O78" s="77">
        <f t="shared" si="22"/>
        <v>0</v>
      </c>
      <c r="P78" s="77">
        <f t="shared" si="22"/>
        <v>0</v>
      </c>
      <c r="Q78" s="77">
        <f t="shared" si="22"/>
        <v>0</v>
      </c>
      <c r="R78" s="77">
        <f t="shared" si="22"/>
        <v>0</v>
      </c>
      <c r="S78" s="77">
        <f t="shared" si="22"/>
        <v>0</v>
      </c>
      <c r="T78" s="77">
        <f t="shared" si="22"/>
        <v>0</v>
      </c>
      <c r="U78" s="77">
        <f t="shared" si="22"/>
        <v>9.6712413793103451</v>
      </c>
      <c r="V78" s="77">
        <f t="shared" si="22"/>
        <v>0</v>
      </c>
      <c r="W78" s="77">
        <f t="shared" si="22"/>
        <v>0</v>
      </c>
      <c r="X78" s="77">
        <f t="shared" si="22"/>
        <v>0</v>
      </c>
      <c r="Y78" s="77">
        <f t="shared" si="22"/>
        <v>2.9898260869565219</v>
      </c>
      <c r="Z78" s="77">
        <f t="shared" si="22"/>
        <v>0</v>
      </c>
      <c r="AA78" s="77">
        <f t="shared" si="22"/>
        <v>0</v>
      </c>
      <c r="AB78" s="77">
        <f t="shared" si="22"/>
        <v>0</v>
      </c>
      <c r="AC78" s="77">
        <f t="shared" si="22"/>
        <v>13.908620689655173</v>
      </c>
      <c r="AD78" s="77">
        <f t="shared" si="22"/>
        <v>13.997777777777777</v>
      </c>
      <c r="AE78" s="77">
        <f t="shared" si="22"/>
        <v>6.8065217391304351</v>
      </c>
      <c r="AF78" s="77">
        <f t="shared" si="22"/>
        <v>1.7196572903391514</v>
      </c>
      <c r="AG78" s="86"/>
      <c r="AH78" s="77">
        <v>2.7977754598941984</v>
      </c>
    </row>
    <row r="79" spans="1:34" x14ac:dyDescent="0.2">
      <c r="A79" s="3" t="s">
        <v>48</v>
      </c>
      <c r="B79" s="77">
        <f t="shared" ref="B79:AF79" si="23">B31/(B$9/1000)</f>
        <v>0</v>
      </c>
      <c r="C79" s="77">
        <f t="shared" si="23"/>
        <v>0</v>
      </c>
      <c r="D79" s="77">
        <f t="shared" si="23"/>
        <v>0</v>
      </c>
      <c r="E79" s="77">
        <f t="shared" si="23"/>
        <v>0</v>
      </c>
      <c r="F79" s="77">
        <f t="shared" si="23"/>
        <v>0</v>
      </c>
      <c r="G79" s="77">
        <f t="shared" si="23"/>
        <v>0</v>
      </c>
      <c r="H79" s="77">
        <f t="shared" si="23"/>
        <v>0</v>
      </c>
      <c r="I79" s="77">
        <f t="shared" si="23"/>
        <v>0</v>
      </c>
      <c r="J79" s="77">
        <f t="shared" si="23"/>
        <v>0</v>
      </c>
      <c r="K79" s="77">
        <f t="shared" si="23"/>
        <v>0</v>
      </c>
      <c r="L79" s="77">
        <f t="shared" si="23"/>
        <v>0</v>
      </c>
      <c r="M79" s="77">
        <f t="shared" si="23"/>
        <v>0</v>
      </c>
      <c r="N79" s="77">
        <f t="shared" si="23"/>
        <v>0</v>
      </c>
      <c r="O79" s="77">
        <f t="shared" si="23"/>
        <v>0</v>
      </c>
      <c r="P79" s="77">
        <f t="shared" si="23"/>
        <v>0</v>
      </c>
      <c r="Q79" s="77">
        <f t="shared" si="23"/>
        <v>0</v>
      </c>
      <c r="R79" s="77">
        <f t="shared" si="23"/>
        <v>0</v>
      </c>
      <c r="S79" s="77">
        <f t="shared" si="23"/>
        <v>0</v>
      </c>
      <c r="T79" s="77">
        <f t="shared" si="23"/>
        <v>0</v>
      </c>
      <c r="U79" s="77">
        <f t="shared" si="23"/>
        <v>0</v>
      </c>
      <c r="V79" s="77">
        <f t="shared" si="23"/>
        <v>0</v>
      </c>
      <c r="W79" s="77">
        <f t="shared" si="23"/>
        <v>0</v>
      </c>
      <c r="X79" s="77">
        <f t="shared" si="23"/>
        <v>0</v>
      </c>
      <c r="Y79" s="77">
        <f t="shared" si="23"/>
        <v>0</v>
      </c>
      <c r="Z79" s="77">
        <f t="shared" si="23"/>
        <v>0</v>
      </c>
      <c r="AA79" s="77">
        <f t="shared" si="23"/>
        <v>0</v>
      </c>
      <c r="AB79" s="77">
        <f t="shared" si="23"/>
        <v>0</v>
      </c>
      <c r="AC79" s="77">
        <f t="shared" si="23"/>
        <v>0</v>
      </c>
      <c r="AD79" s="77">
        <f t="shared" si="23"/>
        <v>0</v>
      </c>
      <c r="AE79" s="77">
        <f t="shared" si="23"/>
        <v>0</v>
      </c>
      <c r="AF79" s="77">
        <f t="shared" si="23"/>
        <v>0</v>
      </c>
      <c r="AG79" s="86"/>
      <c r="AH79" s="77">
        <v>0</v>
      </c>
    </row>
    <row r="80" spans="1:34" x14ac:dyDescent="0.2">
      <c r="A80" s="3" t="s">
        <v>30</v>
      </c>
      <c r="B80" s="77">
        <f t="shared" ref="B80:AF80" si="24">B32/(B$9/1000)</f>
        <v>0</v>
      </c>
      <c r="C80" s="77">
        <f t="shared" si="24"/>
        <v>0</v>
      </c>
      <c r="D80" s="77">
        <f t="shared" si="24"/>
        <v>0</v>
      </c>
      <c r="E80" s="77">
        <f t="shared" si="24"/>
        <v>0</v>
      </c>
      <c r="F80" s="77">
        <f t="shared" si="24"/>
        <v>0</v>
      </c>
      <c r="G80" s="77">
        <f t="shared" si="24"/>
        <v>0</v>
      </c>
      <c r="H80" s="77">
        <f t="shared" si="24"/>
        <v>0</v>
      </c>
      <c r="I80" s="77">
        <f t="shared" si="24"/>
        <v>0</v>
      </c>
      <c r="J80" s="77">
        <f t="shared" si="24"/>
        <v>0</v>
      </c>
      <c r="K80" s="77">
        <f t="shared" si="24"/>
        <v>0</v>
      </c>
      <c r="L80" s="77">
        <f t="shared" si="24"/>
        <v>0</v>
      </c>
      <c r="M80" s="77">
        <f t="shared" si="24"/>
        <v>0</v>
      </c>
      <c r="N80" s="77">
        <f t="shared" si="24"/>
        <v>0</v>
      </c>
      <c r="O80" s="77">
        <f t="shared" si="24"/>
        <v>0</v>
      </c>
      <c r="P80" s="77">
        <f t="shared" si="24"/>
        <v>0</v>
      </c>
      <c r="Q80" s="77">
        <f t="shared" si="24"/>
        <v>0</v>
      </c>
      <c r="R80" s="77">
        <f t="shared" si="24"/>
        <v>0</v>
      </c>
      <c r="S80" s="77">
        <f t="shared" si="24"/>
        <v>0</v>
      </c>
      <c r="T80" s="77">
        <f t="shared" si="24"/>
        <v>0</v>
      </c>
      <c r="U80" s="77">
        <f t="shared" si="24"/>
        <v>0</v>
      </c>
      <c r="V80" s="77">
        <f t="shared" si="24"/>
        <v>0</v>
      </c>
      <c r="W80" s="77">
        <f t="shared" si="24"/>
        <v>0</v>
      </c>
      <c r="X80" s="77">
        <f t="shared" si="24"/>
        <v>0</v>
      </c>
      <c r="Y80" s="77">
        <f t="shared" si="24"/>
        <v>0</v>
      </c>
      <c r="Z80" s="77">
        <f t="shared" si="24"/>
        <v>0</v>
      </c>
      <c r="AA80" s="77">
        <f t="shared" si="24"/>
        <v>0</v>
      </c>
      <c r="AB80" s="77">
        <f t="shared" si="24"/>
        <v>0</v>
      </c>
      <c r="AC80" s="77">
        <f t="shared" si="24"/>
        <v>0</v>
      </c>
      <c r="AD80" s="77">
        <f t="shared" si="24"/>
        <v>0</v>
      </c>
      <c r="AE80" s="77">
        <f t="shared" si="24"/>
        <v>6.5217391304347823E-3</v>
      </c>
      <c r="AF80" s="77">
        <f t="shared" si="24"/>
        <v>0</v>
      </c>
      <c r="AG80" s="86"/>
      <c r="AH80" s="77">
        <v>6.5217391304347831E-3</v>
      </c>
    </row>
    <row r="81" spans="1:65" x14ac:dyDescent="0.2">
      <c r="A81" s="3" t="s">
        <v>50</v>
      </c>
      <c r="B81" s="77">
        <f t="shared" ref="B81:AF81" si="25">B33/(B$9/1000)</f>
        <v>0</v>
      </c>
      <c r="C81" s="77">
        <f t="shared" si="25"/>
        <v>0</v>
      </c>
      <c r="D81" s="77">
        <f t="shared" si="25"/>
        <v>0</v>
      </c>
      <c r="E81" s="77">
        <f t="shared" si="25"/>
        <v>0</v>
      </c>
      <c r="F81" s="77">
        <f t="shared" si="25"/>
        <v>0</v>
      </c>
      <c r="G81" s="77">
        <f t="shared" si="25"/>
        <v>0</v>
      </c>
      <c r="H81" s="77">
        <f t="shared" si="25"/>
        <v>0</v>
      </c>
      <c r="I81" s="77">
        <f t="shared" si="25"/>
        <v>0</v>
      </c>
      <c r="J81" s="77">
        <f t="shared" si="25"/>
        <v>0</v>
      </c>
      <c r="K81" s="77">
        <f t="shared" si="25"/>
        <v>0</v>
      </c>
      <c r="L81" s="77">
        <f t="shared" si="25"/>
        <v>0</v>
      </c>
      <c r="M81" s="77">
        <f t="shared" si="25"/>
        <v>0</v>
      </c>
      <c r="N81" s="77">
        <f t="shared" si="25"/>
        <v>0</v>
      </c>
      <c r="O81" s="77">
        <f t="shared" si="25"/>
        <v>0</v>
      </c>
      <c r="P81" s="77">
        <f t="shared" si="25"/>
        <v>0</v>
      </c>
      <c r="Q81" s="77">
        <f t="shared" si="25"/>
        <v>0</v>
      </c>
      <c r="R81" s="77">
        <f t="shared" si="25"/>
        <v>0</v>
      </c>
      <c r="S81" s="77">
        <f t="shared" si="25"/>
        <v>0</v>
      </c>
      <c r="T81" s="77">
        <f t="shared" si="25"/>
        <v>0</v>
      </c>
      <c r="U81" s="77">
        <f t="shared" si="25"/>
        <v>0</v>
      </c>
      <c r="V81" s="77">
        <f t="shared" si="25"/>
        <v>0</v>
      </c>
      <c r="W81" s="77">
        <f t="shared" si="25"/>
        <v>0</v>
      </c>
      <c r="X81" s="77">
        <f t="shared" si="25"/>
        <v>0</v>
      </c>
      <c r="Y81" s="77">
        <f t="shared" si="25"/>
        <v>0</v>
      </c>
      <c r="Z81" s="77">
        <f t="shared" si="25"/>
        <v>0</v>
      </c>
      <c r="AA81" s="77">
        <f t="shared" si="25"/>
        <v>0</v>
      </c>
      <c r="AB81" s="77">
        <f t="shared" si="25"/>
        <v>0</v>
      </c>
      <c r="AC81" s="77">
        <f t="shared" si="25"/>
        <v>0</v>
      </c>
      <c r="AD81" s="77">
        <f t="shared" si="25"/>
        <v>0</v>
      </c>
      <c r="AE81" s="77">
        <f t="shared" si="25"/>
        <v>0</v>
      </c>
      <c r="AF81" s="77">
        <f t="shared" si="25"/>
        <v>0</v>
      </c>
      <c r="AG81" s="86"/>
      <c r="AH81" s="77">
        <v>0</v>
      </c>
    </row>
    <row r="82" spans="1:65" x14ac:dyDescent="0.2">
      <c r="A82" s="3" t="s">
        <v>49</v>
      </c>
      <c r="B82" s="77">
        <f t="shared" ref="B82:AF82" si="26">B34/(B$9/1000)</f>
        <v>0</v>
      </c>
      <c r="C82" s="77">
        <f t="shared" si="26"/>
        <v>0</v>
      </c>
      <c r="D82" s="77">
        <f t="shared" si="26"/>
        <v>0</v>
      </c>
      <c r="E82" s="77">
        <f t="shared" si="26"/>
        <v>0</v>
      </c>
      <c r="F82" s="77">
        <f t="shared" si="26"/>
        <v>0</v>
      </c>
      <c r="G82" s="77">
        <f t="shared" si="26"/>
        <v>0</v>
      </c>
      <c r="H82" s="77">
        <f t="shared" si="26"/>
        <v>0</v>
      </c>
      <c r="I82" s="77">
        <f t="shared" si="26"/>
        <v>0</v>
      </c>
      <c r="J82" s="77">
        <f t="shared" si="26"/>
        <v>0</v>
      </c>
      <c r="K82" s="77">
        <f t="shared" si="26"/>
        <v>0</v>
      </c>
      <c r="L82" s="77">
        <f t="shared" si="26"/>
        <v>0</v>
      </c>
      <c r="M82" s="77">
        <f t="shared" si="26"/>
        <v>0</v>
      </c>
      <c r="N82" s="77">
        <f t="shared" si="26"/>
        <v>0</v>
      </c>
      <c r="O82" s="77">
        <f t="shared" si="26"/>
        <v>0</v>
      </c>
      <c r="P82" s="77">
        <f t="shared" si="26"/>
        <v>0</v>
      </c>
      <c r="Q82" s="77">
        <f t="shared" si="26"/>
        <v>0</v>
      </c>
      <c r="R82" s="77">
        <f t="shared" si="26"/>
        <v>0</v>
      </c>
      <c r="S82" s="77">
        <f t="shared" si="26"/>
        <v>0</v>
      </c>
      <c r="T82" s="77">
        <f t="shared" si="26"/>
        <v>0</v>
      </c>
      <c r="U82" s="77">
        <f t="shared" si="26"/>
        <v>0</v>
      </c>
      <c r="V82" s="77">
        <f t="shared" si="26"/>
        <v>0</v>
      </c>
      <c r="W82" s="77">
        <f t="shared" si="26"/>
        <v>0</v>
      </c>
      <c r="X82" s="77">
        <f t="shared" si="26"/>
        <v>0</v>
      </c>
      <c r="Y82" s="77">
        <f t="shared" si="26"/>
        <v>0</v>
      </c>
      <c r="Z82" s="77">
        <f t="shared" si="26"/>
        <v>0</v>
      </c>
      <c r="AA82" s="77">
        <f t="shared" si="26"/>
        <v>0</v>
      </c>
      <c r="AB82" s="77">
        <f t="shared" si="26"/>
        <v>0</v>
      </c>
      <c r="AC82" s="77">
        <f t="shared" si="26"/>
        <v>0</v>
      </c>
      <c r="AD82" s="77">
        <f t="shared" si="26"/>
        <v>0</v>
      </c>
      <c r="AE82" s="77">
        <f t="shared" si="26"/>
        <v>0</v>
      </c>
      <c r="AF82" s="77">
        <f t="shared" si="26"/>
        <v>0</v>
      </c>
      <c r="AG82" s="86"/>
      <c r="AH82" s="77">
        <v>0</v>
      </c>
    </row>
    <row r="83" spans="1:65" s="47" customFormat="1" ht="13.5" thickBot="1" x14ac:dyDescent="0.25">
      <c r="A83" s="10" t="s">
        <v>20</v>
      </c>
      <c r="B83" s="80">
        <f t="shared" ref="B83:AF83" si="27">B35/(B$9/1000)</f>
        <v>8.0235254198948142E-2</v>
      </c>
      <c r="C83" s="77">
        <f t="shared" si="27"/>
        <v>0</v>
      </c>
      <c r="D83" s="77">
        <f t="shared" si="27"/>
        <v>7.9050088572822266E-2</v>
      </c>
      <c r="E83" s="77">
        <f t="shared" si="27"/>
        <v>0.29573333333333335</v>
      </c>
      <c r="F83" s="80">
        <f t="shared" si="27"/>
        <v>6.2195987776059052E-2</v>
      </c>
      <c r="G83" s="80">
        <f t="shared" si="27"/>
        <v>0</v>
      </c>
      <c r="H83" s="80">
        <f t="shared" si="27"/>
        <v>0</v>
      </c>
      <c r="I83" s="80">
        <f t="shared" si="27"/>
        <v>0</v>
      </c>
      <c r="J83" s="80">
        <f t="shared" si="27"/>
        <v>1.3539128080151638E-2</v>
      </c>
      <c r="K83" s="80">
        <f t="shared" si="27"/>
        <v>0</v>
      </c>
      <c r="L83" s="80">
        <f t="shared" si="27"/>
        <v>0</v>
      </c>
      <c r="M83" s="80">
        <f t="shared" si="27"/>
        <v>0</v>
      </c>
      <c r="N83" s="80">
        <f t="shared" si="27"/>
        <v>4.5033440673767647E-2</v>
      </c>
      <c r="O83" s="80">
        <f t="shared" si="27"/>
        <v>9.0914357439412959E-3</v>
      </c>
      <c r="P83" s="80">
        <f t="shared" si="27"/>
        <v>1.0090877914951989E-2</v>
      </c>
      <c r="Q83" s="80">
        <f t="shared" si="27"/>
        <v>6.7597934585825288E-3</v>
      </c>
      <c r="R83" s="80">
        <f t="shared" si="27"/>
        <v>0.20391151218087092</v>
      </c>
      <c r="S83" s="80">
        <f t="shared" si="27"/>
        <v>9.4207955338450805E-2</v>
      </c>
      <c r="T83" s="80">
        <f t="shared" si="27"/>
        <v>1.4450302675258738E-2</v>
      </c>
      <c r="U83" s="80">
        <f t="shared" si="27"/>
        <v>8.9655172413793096</v>
      </c>
      <c r="V83" s="80">
        <f t="shared" si="27"/>
        <v>0.26897326443495845</v>
      </c>
      <c r="W83" s="80">
        <f t="shared" si="27"/>
        <v>1.5741931624442915E-2</v>
      </c>
      <c r="X83" s="80">
        <f t="shared" si="27"/>
        <v>4.1877533398891904E-3</v>
      </c>
      <c r="Y83" s="80">
        <f t="shared" si="27"/>
        <v>0.13043478260869565</v>
      </c>
      <c r="Z83" s="80">
        <f t="shared" si="27"/>
        <v>0</v>
      </c>
      <c r="AA83" s="80">
        <f t="shared" si="27"/>
        <v>0</v>
      </c>
      <c r="AB83" s="80">
        <f t="shared" si="27"/>
        <v>7.960693386331015E-2</v>
      </c>
      <c r="AC83" s="80">
        <f t="shared" si="27"/>
        <v>0.68965517241379315</v>
      </c>
      <c r="AD83" s="80">
        <f t="shared" si="27"/>
        <v>0.7407407407407407</v>
      </c>
      <c r="AE83" s="80">
        <f t="shared" si="27"/>
        <v>16.086956521739129</v>
      </c>
      <c r="AF83" s="80">
        <f t="shared" si="27"/>
        <v>2.1738180449639213</v>
      </c>
      <c r="AG83" s="212"/>
      <c r="AH83" s="80">
        <v>0.16267792783557952</v>
      </c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</row>
    <row r="84" spans="1:65" ht="15" x14ac:dyDescent="0.25">
      <c r="A84" s="95" t="s">
        <v>54</v>
      </c>
      <c r="B84" s="106" t="s">
        <v>53</v>
      </c>
      <c r="C84" s="106"/>
      <c r="D84" s="106"/>
      <c r="E84" s="106"/>
      <c r="F84" s="106"/>
      <c r="G84" s="106"/>
      <c r="H84" s="106" t="s">
        <v>53</v>
      </c>
      <c r="I84" s="106"/>
      <c r="J84" s="106"/>
      <c r="K84" s="106"/>
      <c r="L84" s="106"/>
      <c r="M84" s="106"/>
      <c r="N84" s="106"/>
      <c r="O84" s="106"/>
      <c r="P84" s="106"/>
      <c r="Q84" s="106"/>
      <c r="R84" s="106" t="s">
        <v>53</v>
      </c>
      <c r="S84" s="106" t="s">
        <v>53</v>
      </c>
      <c r="T84" s="106" t="s">
        <v>53</v>
      </c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210"/>
      <c r="AH84" s="106"/>
    </row>
    <row r="85" spans="1:65" x14ac:dyDescent="0.2">
      <c r="A85" s="3" t="s">
        <v>55</v>
      </c>
      <c r="B85" s="82">
        <f t="shared" ref="B85:AF85" si="28">B37/(B$9/1000)</f>
        <v>0.60510094440988516</v>
      </c>
      <c r="C85" s="82">
        <f t="shared" si="28"/>
        <v>0.54567502021018588</v>
      </c>
      <c r="D85" s="82">
        <f t="shared" si="28"/>
        <v>0.10782778362558086</v>
      </c>
      <c r="E85" s="82">
        <f t="shared" si="28"/>
        <v>0</v>
      </c>
      <c r="F85" s="82">
        <f t="shared" si="28"/>
        <v>0.10118020709358998</v>
      </c>
      <c r="G85" s="82">
        <f t="shared" si="28"/>
        <v>0</v>
      </c>
      <c r="H85" s="82">
        <f t="shared" si="28"/>
        <v>0.15120967741935484</v>
      </c>
      <c r="I85" s="82">
        <f t="shared" si="28"/>
        <v>0.27045019555629524</v>
      </c>
      <c r="J85" s="82">
        <f t="shared" si="28"/>
        <v>0.27078256160303277</v>
      </c>
      <c r="K85" s="82">
        <f t="shared" si="28"/>
        <v>0.24118702606749379</v>
      </c>
      <c r="L85" s="82">
        <f t="shared" si="28"/>
        <v>0</v>
      </c>
      <c r="M85" s="82">
        <f t="shared" si="28"/>
        <v>6.4087689638788525E-2</v>
      </c>
      <c r="N85" s="82">
        <f t="shared" si="28"/>
        <v>0.44629675501610105</v>
      </c>
      <c r="O85" s="82">
        <f t="shared" si="28"/>
        <v>0.19310611180843873</v>
      </c>
      <c r="P85" s="82">
        <f t="shared" si="28"/>
        <v>0.1071673525377229</v>
      </c>
      <c r="Q85" s="82">
        <f t="shared" si="28"/>
        <v>0.19019844037278894</v>
      </c>
      <c r="R85" s="82">
        <f t="shared" si="28"/>
        <v>0</v>
      </c>
      <c r="S85" s="82">
        <f t="shared" si="28"/>
        <v>0.58987139866414118</v>
      </c>
      <c r="T85" s="82">
        <f t="shared" si="28"/>
        <v>0.58987502440929507</v>
      </c>
      <c r="U85" s="82">
        <f t="shared" si="28"/>
        <v>0</v>
      </c>
      <c r="V85" s="82">
        <f t="shared" si="28"/>
        <v>1.3480116827679174</v>
      </c>
      <c r="W85" s="82">
        <f t="shared" si="28"/>
        <v>0.2691951066311728</v>
      </c>
      <c r="X85" s="82">
        <f t="shared" si="28"/>
        <v>0.47969683160242726</v>
      </c>
      <c r="Y85" s="82">
        <f t="shared" si="28"/>
        <v>0</v>
      </c>
      <c r="Z85" s="82">
        <f t="shared" si="28"/>
        <v>1.9126555486625552</v>
      </c>
      <c r="AA85" s="82">
        <f t="shared" si="28"/>
        <v>0.3253033233690874</v>
      </c>
      <c r="AB85" s="82">
        <f t="shared" si="28"/>
        <v>0.27234919583379336</v>
      </c>
      <c r="AC85" s="82">
        <f t="shared" si="28"/>
        <v>0</v>
      </c>
      <c r="AD85" s="82">
        <f t="shared" si="28"/>
        <v>0</v>
      </c>
      <c r="AE85" s="82">
        <f t="shared" si="28"/>
        <v>0</v>
      </c>
      <c r="AF85" s="82">
        <f t="shared" si="28"/>
        <v>0</v>
      </c>
      <c r="AG85" s="54"/>
      <c r="AH85" s="82">
        <v>0.2636594793533345</v>
      </c>
    </row>
    <row r="86" spans="1:65" x14ac:dyDescent="0.2">
      <c r="A86" s="3" t="s">
        <v>56</v>
      </c>
      <c r="B86" s="77">
        <f t="shared" ref="B86:AF86" si="29">B38/(B$9/1000)</f>
        <v>0</v>
      </c>
      <c r="C86" s="77">
        <f t="shared" si="29"/>
        <v>0</v>
      </c>
      <c r="D86" s="77">
        <f t="shared" si="29"/>
        <v>8.1332956791866709E-2</v>
      </c>
      <c r="E86" s="77">
        <f t="shared" si="29"/>
        <v>0</v>
      </c>
      <c r="F86" s="77">
        <f t="shared" si="29"/>
        <v>8.0944165674871976E-2</v>
      </c>
      <c r="G86" s="77">
        <f t="shared" si="29"/>
        <v>0</v>
      </c>
      <c r="H86" s="77">
        <f t="shared" si="29"/>
        <v>0</v>
      </c>
      <c r="I86" s="77">
        <f t="shared" si="29"/>
        <v>0.14562702837646668</v>
      </c>
      <c r="J86" s="77">
        <f t="shared" si="29"/>
        <v>0.13900171495622349</v>
      </c>
      <c r="K86" s="77">
        <f t="shared" si="29"/>
        <v>0.22150616474038629</v>
      </c>
      <c r="L86" s="77">
        <f t="shared" si="29"/>
        <v>0.13333333333333333</v>
      </c>
      <c r="M86" s="77">
        <f t="shared" si="29"/>
        <v>0</v>
      </c>
      <c r="N86" s="77">
        <f t="shared" si="29"/>
        <v>0.36413178102551402</v>
      </c>
      <c r="O86" s="77">
        <f t="shared" si="29"/>
        <v>0.20855460075311383</v>
      </c>
      <c r="P86" s="77">
        <f t="shared" si="29"/>
        <v>0.23148148148148148</v>
      </c>
      <c r="Q86" s="77">
        <f t="shared" si="29"/>
        <v>0.17610966701184161</v>
      </c>
      <c r="R86" s="77">
        <f t="shared" si="29"/>
        <v>0.1298427279957152</v>
      </c>
      <c r="S86" s="77">
        <f t="shared" si="29"/>
        <v>0.40963014654570828</v>
      </c>
      <c r="T86" s="77">
        <f t="shared" si="29"/>
        <v>0.40963678968951378</v>
      </c>
      <c r="U86" s="77">
        <f t="shared" si="29"/>
        <v>0.2413793103448276</v>
      </c>
      <c r="V86" s="77">
        <f t="shared" si="29"/>
        <v>0</v>
      </c>
      <c r="W86" s="77">
        <f t="shared" si="29"/>
        <v>0.17901474590972991</v>
      </c>
      <c r="X86" s="77">
        <f t="shared" si="29"/>
        <v>0.25184083659127432</v>
      </c>
      <c r="Y86" s="77">
        <f t="shared" si="29"/>
        <v>0</v>
      </c>
      <c r="Z86" s="77">
        <f t="shared" si="29"/>
        <v>1.7005437360872897</v>
      </c>
      <c r="AA86" s="77">
        <f t="shared" si="29"/>
        <v>0.24617548795498506</v>
      </c>
      <c r="AB86" s="77">
        <f t="shared" si="29"/>
        <v>0.24216996061977844</v>
      </c>
      <c r="AC86" s="77">
        <f t="shared" si="29"/>
        <v>1.2068965517241379</v>
      </c>
      <c r="AD86" s="77">
        <f t="shared" si="29"/>
        <v>1.2962962962962963</v>
      </c>
      <c r="AE86" s="77">
        <f t="shared" si="29"/>
        <v>0</v>
      </c>
      <c r="AF86" s="77">
        <f t="shared" si="29"/>
        <v>0</v>
      </c>
      <c r="AG86" s="54"/>
      <c r="AH86" s="77">
        <v>0.21173103368600721</v>
      </c>
    </row>
    <row r="87" spans="1:65" ht="13.5" thickBot="1" x14ac:dyDescent="0.25">
      <c r="A87" s="15" t="s">
        <v>57</v>
      </c>
      <c r="B87" s="77">
        <f t="shared" ref="B87:AF87" si="30">B39/(B$9/1000)</f>
        <v>0.54289430526494376</v>
      </c>
      <c r="C87" s="77">
        <f t="shared" si="30"/>
        <v>0</v>
      </c>
      <c r="D87" s="77">
        <f t="shared" si="30"/>
        <v>9.7558470899335059E-2</v>
      </c>
      <c r="E87" s="77">
        <f t="shared" si="30"/>
        <v>0</v>
      </c>
      <c r="F87" s="77">
        <f t="shared" si="30"/>
        <v>0</v>
      </c>
      <c r="G87" s="77">
        <f t="shared" si="30"/>
        <v>0</v>
      </c>
      <c r="H87" s="77">
        <f t="shared" si="30"/>
        <v>0</v>
      </c>
      <c r="I87" s="77">
        <f t="shared" si="30"/>
        <v>0</v>
      </c>
      <c r="J87" s="77">
        <f t="shared" si="30"/>
        <v>0</v>
      </c>
      <c r="K87" s="77">
        <f t="shared" si="30"/>
        <v>0</v>
      </c>
      <c r="L87" s="77">
        <f t="shared" si="30"/>
        <v>0</v>
      </c>
      <c r="M87" s="77">
        <f t="shared" si="30"/>
        <v>0</v>
      </c>
      <c r="N87" s="77">
        <f t="shared" si="30"/>
        <v>0.49541738915035916</v>
      </c>
      <c r="O87" s="77">
        <f t="shared" si="30"/>
        <v>0.16414019503717292</v>
      </c>
      <c r="P87" s="77">
        <f t="shared" si="30"/>
        <v>0.18218449931412894</v>
      </c>
      <c r="Q87" s="77">
        <f t="shared" si="30"/>
        <v>0.1197545735680523</v>
      </c>
      <c r="R87" s="77">
        <f t="shared" si="30"/>
        <v>0.16230340999464399</v>
      </c>
      <c r="S87" s="77">
        <f t="shared" si="30"/>
        <v>0</v>
      </c>
      <c r="T87" s="77">
        <f t="shared" si="30"/>
        <v>0</v>
      </c>
      <c r="U87" s="77">
        <f t="shared" si="30"/>
        <v>0</v>
      </c>
      <c r="V87" s="77">
        <f t="shared" si="30"/>
        <v>1.0334756234554032</v>
      </c>
      <c r="W87" s="77">
        <f t="shared" si="30"/>
        <v>0</v>
      </c>
      <c r="X87" s="77">
        <f t="shared" si="30"/>
        <v>0</v>
      </c>
      <c r="Y87" s="77">
        <f t="shared" si="30"/>
        <v>0</v>
      </c>
      <c r="Z87" s="77">
        <f t="shared" si="30"/>
        <v>0</v>
      </c>
      <c r="AA87" s="77">
        <f t="shared" si="30"/>
        <v>0</v>
      </c>
      <c r="AB87" s="77">
        <f t="shared" si="30"/>
        <v>0.36803945382945052</v>
      </c>
      <c r="AC87" s="77">
        <f t="shared" si="30"/>
        <v>0</v>
      </c>
      <c r="AD87" s="77">
        <f t="shared" si="30"/>
        <v>0</v>
      </c>
      <c r="AE87" s="77">
        <f t="shared" si="30"/>
        <v>0</v>
      </c>
      <c r="AF87" s="77">
        <f t="shared" si="30"/>
        <v>0</v>
      </c>
      <c r="AG87" s="7"/>
      <c r="AH87" s="77">
        <v>0.16416409914212449</v>
      </c>
    </row>
    <row r="88" spans="1:65" s="43" customFormat="1" ht="13.5" thickBot="1" x14ac:dyDescent="0.25">
      <c r="A88" s="83" t="s">
        <v>39</v>
      </c>
      <c r="B88" s="84">
        <f t="shared" ref="B88:AF88" si="31">B40/(B$9/1000)</f>
        <v>2.7159757959622235</v>
      </c>
      <c r="C88" s="84">
        <f t="shared" si="31"/>
        <v>7.2335489086499596</v>
      </c>
      <c r="D88" s="84">
        <f t="shared" si="31"/>
        <v>0.77792508536366201</v>
      </c>
      <c r="E88" s="84">
        <f t="shared" si="31"/>
        <v>0.9724666666666667</v>
      </c>
      <c r="F88" s="84">
        <f t="shared" si="31"/>
        <v>0.66337653785340189</v>
      </c>
      <c r="G88" s="84">
        <f t="shared" si="31"/>
        <v>1.3316004974068121</v>
      </c>
      <c r="H88" s="84">
        <f t="shared" si="31"/>
        <v>0.97577284946236564</v>
      </c>
      <c r="I88" s="84">
        <f t="shared" si="31"/>
        <v>0.950686527419489</v>
      </c>
      <c r="J88" s="84">
        <f t="shared" si="31"/>
        <v>0.9407572885639498</v>
      </c>
      <c r="K88" s="84">
        <f t="shared" si="31"/>
        <v>1.0911879908155981</v>
      </c>
      <c r="L88" s="84">
        <f t="shared" si="31"/>
        <v>1.50766</v>
      </c>
      <c r="M88" s="84">
        <f t="shared" si="31"/>
        <v>0.99717793173556091</v>
      </c>
      <c r="N88" s="84">
        <f t="shared" si="31"/>
        <v>5.3519445132524153</v>
      </c>
      <c r="O88" s="84">
        <f t="shared" si="31"/>
        <v>1.149336680505938</v>
      </c>
      <c r="P88" s="84">
        <f t="shared" si="31"/>
        <v>1.1685185185185185</v>
      </c>
      <c r="Q88" s="84">
        <f t="shared" si="31"/>
        <v>1.3029945687778695</v>
      </c>
      <c r="R88" s="84">
        <f t="shared" si="31"/>
        <v>1.9166571989677503</v>
      </c>
      <c r="S88" s="84">
        <f t="shared" si="31"/>
        <v>3.0501046755059318</v>
      </c>
      <c r="T88" s="84">
        <f t="shared" si="31"/>
        <v>2.7320347588361646</v>
      </c>
      <c r="U88" s="84">
        <f t="shared" si="31"/>
        <v>34.821655172413791</v>
      </c>
      <c r="V88" s="84">
        <f t="shared" si="31"/>
        <v>7.2525275219051899</v>
      </c>
      <c r="W88" s="84">
        <f t="shared" si="31"/>
        <v>1.5340501899321031</v>
      </c>
      <c r="X88" s="84">
        <f t="shared" si="31"/>
        <v>1.7916148993835896</v>
      </c>
      <c r="Y88" s="84">
        <f t="shared" si="31"/>
        <v>16.659391304347825</v>
      </c>
      <c r="Z88" s="84">
        <f t="shared" si="31"/>
        <v>4.9402072765755571</v>
      </c>
      <c r="AA88" s="84">
        <f t="shared" si="31"/>
        <v>1.9361877967293828</v>
      </c>
      <c r="AB88" s="84">
        <f t="shared" si="31"/>
        <v>2.1192153398844358</v>
      </c>
      <c r="AC88" s="84">
        <f t="shared" si="31"/>
        <v>68.203793103448277</v>
      </c>
      <c r="AD88" s="84">
        <f t="shared" si="31"/>
        <v>70.70148148148148</v>
      </c>
      <c r="AE88" s="84">
        <f t="shared" si="31"/>
        <v>32.871913043478258</v>
      </c>
      <c r="AF88" s="84">
        <f t="shared" si="31"/>
        <v>14.378189938633675</v>
      </c>
      <c r="AG88" s="87"/>
      <c r="AH88" s="84">
        <v>1.627488416127769</v>
      </c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</row>
    <row r="89" spans="1:65" ht="15.75" thickBot="1" x14ac:dyDescent="0.3">
      <c r="A89" s="100" t="s">
        <v>40</v>
      </c>
      <c r="B89" s="77">
        <f t="shared" ref="B89:AF89" si="32">B41/(B$9/1000)</f>
        <v>0</v>
      </c>
      <c r="C89" s="77">
        <f t="shared" si="32"/>
        <v>0</v>
      </c>
      <c r="D89" s="77">
        <f t="shared" si="32"/>
        <v>0</v>
      </c>
      <c r="E89" s="77">
        <f t="shared" si="32"/>
        <v>0</v>
      </c>
      <c r="F89" s="77">
        <f t="shared" si="32"/>
        <v>0</v>
      </c>
      <c r="G89" s="77">
        <f t="shared" si="32"/>
        <v>0</v>
      </c>
      <c r="H89" s="77">
        <f t="shared" si="32"/>
        <v>0</v>
      </c>
      <c r="I89" s="77">
        <f t="shared" si="32"/>
        <v>0</v>
      </c>
      <c r="J89" s="77">
        <f t="shared" si="32"/>
        <v>0</v>
      </c>
      <c r="K89" s="77">
        <f t="shared" si="32"/>
        <v>0</v>
      </c>
      <c r="L89" s="77">
        <f t="shared" si="32"/>
        <v>0</v>
      </c>
      <c r="M89" s="77">
        <f t="shared" si="32"/>
        <v>0</v>
      </c>
      <c r="N89" s="77">
        <f t="shared" si="32"/>
        <v>0</v>
      </c>
      <c r="O89" s="77">
        <f t="shared" si="32"/>
        <v>0</v>
      </c>
      <c r="P89" s="77">
        <f t="shared" si="32"/>
        <v>0</v>
      </c>
      <c r="Q89" s="77">
        <f t="shared" si="32"/>
        <v>0</v>
      </c>
      <c r="R89" s="77">
        <f t="shared" si="32"/>
        <v>0</v>
      </c>
      <c r="S89" s="77">
        <f t="shared" si="32"/>
        <v>0</v>
      </c>
      <c r="T89" s="77">
        <f t="shared" si="32"/>
        <v>0</v>
      </c>
      <c r="U89" s="77">
        <f t="shared" si="32"/>
        <v>0</v>
      </c>
      <c r="V89" s="77">
        <f t="shared" si="32"/>
        <v>0</v>
      </c>
      <c r="W89" s="77">
        <f t="shared" si="32"/>
        <v>0</v>
      </c>
      <c r="X89" s="77">
        <f t="shared" si="32"/>
        <v>0</v>
      </c>
      <c r="Y89" s="77">
        <f t="shared" si="32"/>
        <v>0</v>
      </c>
      <c r="Z89" s="77">
        <f t="shared" si="32"/>
        <v>0</v>
      </c>
      <c r="AA89" s="77">
        <f t="shared" si="32"/>
        <v>0</v>
      </c>
      <c r="AB89" s="77">
        <f t="shared" si="32"/>
        <v>0</v>
      </c>
      <c r="AC89" s="77">
        <f t="shared" si="32"/>
        <v>0</v>
      </c>
      <c r="AD89" s="77">
        <f t="shared" si="32"/>
        <v>0</v>
      </c>
      <c r="AE89" s="77">
        <f t="shared" si="32"/>
        <v>2.5708695652173912</v>
      </c>
      <c r="AF89" s="77">
        <f t="shared" si="32"/>
        <v>0</v>
      </c>
      <c r="AG89" s="86"/>
      <c r="AH89" s="77">
        <v>2.5708695652173916</v>
      </c>
    </row>
    <row r="90" spans="1:65" s="47" customFormat="1" ht="13.5" thickBot="1" x14ac:dyDescent="0.25">
      <c r="A90" s="83" t="s">
        <v>41</v>
      </c>
      <c r="B90" s="84">
        <f t="shared" ref="B90:AF90" si="33">B42/(B$9/1000)</f>
        <v>2.7159757959622235</v>
      </c>
      <c r="C90" s="84">
        <f t="shared" si="33"/>
        <v>7.2335489086499596</v>
      </c>
      <c r="D90" s="84">
        <f t="shared" si="33"/>
        <v>0.77792508536366201</v>
      </c>
      <c r="E90" s="84">
        <f t="shared" si="33"/>
        <v>0.9724666666666667</v>
      </c>
      <c r="F90" s="84">
        <f t="shared" si="33"/>
        <v>0.66337653785340189</v>
      </c>
      <c r="G90" s="84">
        <f t="shared" si="33"/>
        <v>1.3316004974068121</v>
      </c>
      <c r="H90" s="84">
        <f t="shared" si="33"/>
        <v>0.97577284946236564</v>
      </c>
      <c r="I90" s="84">
        <f t="shared" si="33"/>
        <v>0.950686527419489</v>
      </c>
      <c r="J90" s="84">
        <f t="shared" si="33"/>
        <v>0.9407572885639498</v>
      </c>
      <c r="K90" s="84">
        <f t="shared" si="33"/>
        <v>1.0911879908155981</v>
      </c>
      <c r="L90" s="84">
        <f t="shared" si="33"/>
        <v>1.50766</v>
      </c>
      <c r="M90" s="84">
        <f t="shared" si="33"/>
        <v>0.99717793173556091</v>
      </c>
      <c r="N90" s="84">
        <f t="shared" si="33"/>
        <v>5.3519445132524153</v>
      </c>
      <c r="O90" s="84">
        <f t="shared" si="33"/>
        <v>1.149336680505938</v>
      </c>
      <c r="P90" s="84">
        <f t="shared" si="33"/>
        <v>1.1685185185185185</v>
      </c>
      <c r="Q90" s="84">
        <f t="shared" si="33"/>
        <v>1.3029945687778695</v>
      </c>
      <c r="R90" s="84">
        <f t="shared" si="33"/>
        <v>1.9166571989677503</v>
      </c>
      <c r="S90" s="84">
        <f t="shared" si="33"/>
        <v>3.0501046755059318</v>
      </c>
      <c r="T90" s="84">
        <f t="shared" si="33"/>
        <v>2.7320347588361646</v>
      </c>
      <c r="U90" s="84">
        <f t="shared" si="33"/>
        <v>34.821655172413791</v>
      </c>
      <c r="V90" s="84">
        <f t="shared" si="33"/>
        <v>7.2525275219051899</v>
      </c>
      <c r="W90" s="84">
        <f t="shared" si="33"/>
        <v>1.5340501899321031</v>
      </c>
      <c r="X90" s="84">
        <f t="shared" si="33"/>
        <v>1.7916148993835896</v>
      </c>
      <c r="Y90" s="84">
        <f t="shared" si="33"/>
        <v>16.659391304347825</v>
      </c>
      <c r="Z90" s="84">
        <f t="shared" si="33"/>
        <v>4.9402072765755571</v>
      </c>
      <c r="AA90" s="84">
        <f t="shared" si="33"/>
        <v>1.9361877967293828</v>
      </c>
      <c r="AB90" s="84">
        <f t="shared" si="33"/>
        <v>2.1192153398844358</v>
      </c>
      <c r="AC90" s="84">
        <f t="shared" si="33"/>
        <v>68.203793103448277</v>
      </c>
      <c r="AD90" s="84">
        <f t="shared" si="33"/>
        <v>70.70148148148148</v>
      </c>
      <c r="AE90" s="84">
        <f t="shared" si="33"/>
        <v>35.442782608695651</v>
      </c>
      <c r="AF90" s="84">
        <f t="shared" si="33"/>
        <v>14.378189938633675</v>
      </c>
      <c r="AG90" s="87"/>
      <c r="AH90" s="84">
        <v>1.6349640044140628</v>
      </c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</row>
    <row r="91" spans="1:65" ht="13.5" thickBot="1" x14ac:dyDescent="0.25">
      <c r="A91" s="33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8"/>
      <c r="AH91" s="77"/>
    </row>
    <row r="92" spans="1:65" x14ac:dyDescent="0.2">
      <c r="A92" s="12" t="s">
        <v>58</v>
      </c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3"/>
      <c r="AH92" s="105"/>
    </row>
    <row r="93" spans="1:65" x14ac:dyDescent="0.2">
      <c r="A93" s="3" t="s">
        <v>59</v>
      </c>
      <c r="B93" s="77">
        <f t="shared" ref="B93:AF93" si="34">B45/(B$9/1000)</f>
        <v>0</v>
      </c>
      <c r="C93" s="77">
        <f t="shared" si="34"/>
        <v>0.75004042037186747</v>
      </c>
      <c r="D93" s="77">
        <f t="shared" si="34"/>
        <v>6.1615876357474779E-2</v>
      </c>
      <c r="E93" s="77">
        <f t="shared" si="34"/>
        <v>0</v>
      </c>
      <c r="F93" s="77">
        <f t="shared" si="34"/>
        <v>0</v>
      </c>
      <c r="G93" s="77">
        <f t="shared" si="34"/>
        <v>0</v>
      </c>
      <c r="H93" s="77">
        <f t="shared" si="34"/>
        <v>0</v>
      </c>
      <c r="I93" s="77">
        <f t="shared" si="34"/>
        <v>0</v>
      </c>
      <c r="J93" s="77">
        <f t="shared" si="34"/>
        <v>0</v>
      </c>
      <c r="K93" s="77">
        <f t="shared" si="34"/>
        <v>0</v>
      </c>
      <c r="L93" s="77">
        <f t="shared" si="34"/>
        <v>0</v>
      </c>
      <c r="M93" s="77">
        <f t="shared" si="34"/>
        <v>0</v>
      </c>
      <c r="N93" s="77">
        <f t="shared" si="34"/>
        <v>0.37156304186276939</v>
      </c>
      <c r="O93" s="77">
        <f t="shared" si="34"/>
        <v>0.10000193106111809</v>
      </c>
      <c r="P93" s="77">
        <f t="shared" si="34"/>
        <v>0.1</v>
      </c>
      <c r="Q93" s="77">
        <f t="shared" si="34"/>
        <v>0</v>
      </c>
      <c r="R93" s="77">
        <f t="shared" si="34"/>
        <v>0</v>
      </c>
      <c r="S93" s="77">
        <f t="shared" si="34"/>
        <v>0</v>
      </c>
      <c r="T93" s="77">
        <f t="shared" si="34"/>
        <v>0</v>
      </c>
      <c r="U93" s="77">
        <f t="shared" si="34"/>
        <v>10</v>
      </c>
      <c r="V93" s="77">
        <f t="shared" si="34"/>
        <v>0</v>
      </c>
      <c r="W93" s="77">
        <f t="shared" si="34"/>
        <v>0</v>
      </c>
      <c r="X93" s="77">
        <f t="shared" si="34"/>
        <v>0</v>
      </c>
      <c r="Y93" s="77">
        <f t="shared" si="34"/>
        <v>6.5</v>
      </c>
      <c r="Z93" s="77">
        <f t="shared" si="34"/>
        <v>0</v>
      </c>
      <c r="AA93" s="77">
        <f t="shared" si="34"/>
        <v>0</v>
      </c>
      <c r="AB93" s="77">
        <f t="shared" si="34"/>
        <v>0.74999815980273088</v>
      </c>
      <c r="AC93" s="77">
        <f t="shared" si="34"/>
        <v>9.2068965517241388</v>
      </c>
      <c r="AD93" s="77">
        <f t="shared" si="34"/>
        <v>9.2962962962962958</v>
      </c>
      <c r="AE93" s="77">
        <f t="shared" si="34"/>
        <v>0</v>
      </c>
      <c r="AF93" s="77">
        <f t="shared" si="34"/>
        <v>0</v>
      </c>
      <c r="AG93" s="7"/>
      <c r="AH93" s="77">
        <v>0.3006449508502973</v>
      </c>
    </row>
    <row r="94" spans="1:65" x14ac:dyDescent="0.2">
      <c r="A94" s="3" t="s">
        <v>60</v>
      </c>
      <c r="B94" s="77">
        <f t="shared" ref="B94:AF94" si="35">B46/(B$9/1000)</f>
        <v>0</v>
      </c>
      <c r="C94" s="77">
        <f t="shared" si="35"/>
        <v>0</v>
      </c>
      <c r="D94" s="77">
        <f t="shared" si="35"/>
        <v>0</v>
      </c>
      <c r="E94" s="77">
        <f t="shared" si="35"/>
        <v>0</v>
      </c>
      <c r="F94" s="77">
        <f t="shared" si="35"/>
        <v>0</v>
      </c>
      <c r="G94" s="77">
        <f t="shared" si="35"/>
        <v>0</v>
      </c>
      <c r="H94" s="77">
        <f t="shared" si="35"/>
        <v>0</v>
      </c>
      <c r="I94" s="77">
        <f t="shared" si="35"/>
        <v>0</v>
      </c>
      <c r="J94" s="77">
        <f t="shared" si="35"/>
        <v>0</v>
      </c>
      <c r="K94" s="77">
        <f t="shared" si="35"/>
        <v>0</v>
      </c>
      <c r="L94" s="77">
        <f t="shared" si="35"/>
        <v>0</v>
      </c>
      <c r="M94" s="77">
        <f t="shared" si="35"/>
        <v>0</v>
      </c>
      <c r="N94" s="77">
        <f t="shared" si="35"/>
        <v>0</v>
      </c>
      <c r="O94" s="77">
        <f t="shared" si="35"/>
        <v>0</v>
      </c>
      <c r="P94" s="77">
        <f t="shared" si="35"/>
        <v>0</v>
      </c>
      <c r="Q94" s="77">
        <f t="shared" si="35"/>
        <v>0</v>
      </c>
      <c r="R94" s="77">
        <f t="shared" si="35"/>
        <v>0</v>
      </c>
      <c r="S94" s="77">
        <f t="shared" si="35"/>
        <v>0.49568338151729641</v>
      </c>
      <c r="T94" s="77">
        <f t="shared" si="35"/>
        <v>0</v>
      </c>
      <c r="U94" s="77">
        <f t="shared" si="35"/>
        <v>0</v>
      </c>
      <c r="V94" s="77">
        <f t="shared" si="35"/>
        <v>0</v>
      </c>
      <c r="W94" s="77">
        <f t="shared" si="35"/>
        <v>0</v>
      </c>
      <c r="X94" s="77">
        <f t="shared" si="35"/>
        <v>0.15078310507759096</v>
      </c>
      <c r="Y94" s="77">
        <f t="shared" si="35"/>
        <v>0</v>
      </c>
      <c r="Z94" s="77">
        <f t="shared" si="35"/>
        <v>9.8354194796190203E-2</v>
      </c>
      <c r="AA94" s="77">
        <f t="shared" si="35"/>
        <v>0</v>
      </c>
      <c r="AB94" s="77">
        <f t="shared" si="35"/>
        <v>0</v>
      </c>
      <c r="AC94" s="77">
        <f t="shared" si="35"/>
        <v>0</v>
      </c>
      <c r="AD94" s="77">
        <f t="shared" si="35"/>
        <v>0</v>
      </c>
      <c r="AE94" s="77">
        <f t="shared" si="35"/>
        <v>0</v>
      </c>
      <c r="AF94" s="77">
        <f t="shared" si="35"/>
        <v>0</v>
      </c>
      <c r="AG94" s="7"/>
      <c r="AH94" s="77">
        <v>0.15628649206796208</v>
      </c>
    </row>
    <row r="95" spans="1:65" x14ac:dyDescent="0.2">
      <c r="A95" s="3" t="s">
        <v>61</v>
      </c>
      <c r="B95" s="77">
        <f t="shared" ref="B95:AF95" si="36">B47/(B$9/1000)</f>
        <v>3.7026522648871798</v>
      </c>
      <c r="C95" s="77">
        <f t="shared" si="36"/>
        <v>4.6274050121261112</v>
      </c>
      <c r="D95" s="77">
        <f t="shared" si="36"/>
        <v>3.613077969756874</v>
      </c>
      <c r="E95" s="77">
        <f t="shared" si="36"/>
        <v>0</v>
      </c>
      <c r="F95" s="77">
        <f t="shared" si="36"/>
        <v>3.212077143905693</v>
      </c>
      <c r="G95" s="77">
        <f t="shared" si="36"/>
        <v>0</v>
      </c>
      <c r="H95" s="77">
        <f t="shared" si="36"/>
        <v>2.6749999999999998</v>
      </c>
      <c r="I95" s="77">
        <f t="shared" si="36"/>
        <v>3.75</v>
      </c>
      <c r="J95" s="77">
        <f t="shared" si="36"/>
        <v>3.4059120859283327</v>
      </c>
      <c r="K95" s="77">
        <f t="shared" si="36"/>
        <v>3.4805564667065427</v>
      </c>
      <c r="L95" s="77">
        <f t="shared" si="36"/>
        <v>1</v>
      </c>
      <c r="M95" s="77">
        <f t="shared" si="36"/>
        <v>1.3992618866089876</v>
      </c>
      <c r="N95" s="77">
        <f t="shared" si="36"/>
        <v>2.9834282883329206</v>
      </c>
      <c r="O95" s="77">
        <f t="shared" si="36"/>
        <v>3.0835531524572755</v>
      </c>
      <c r="P95" s="77">
        <f t="shared" si="36"/>
        <v>3.1355881344307268</v>
      </c>
      <c r="Q95" s="77">
        <f t="shared" si="36"/>
        <v>2.4801637115464543</v>
      </c>
      <c r="R95" s="77">
        <f t="shared" si="36"/>
        <v>1.1904392471285821</v>
      </c>
      <c r="S95" s="77">
        <f t="shared" si="36"/>
        <v>3.155318512610906</v>
      </c>
      <c r="T95" s="77">
        <f t="shared" si="36"/>
        <v>1.4275141573911345</v>
      </c>
      <c r="U95" s="77">
        <f t="shared" si="36"/>
        <v>0</v>
      </c>
      <c r="V95" s="77">
        <f t="shared" si="36"/>
        <v>3.4225567288249832</v>
      </c>
      <c r="W95" s="77">
        <f t="shared" si="36"/>
        <v>3.8427422008195498</v>
      </c>
      <c r="X95" s="77">
        <f t="shared" si="36"/>
        <v>0.78698582495862612</v>
      </c>
      <c r="Y95" s="77">
        <f t="shared" si="36"/>
        <v>0</v>
      </c>
      <c r="Z95" s="77">
        <f t="shared" si="36"/>
        <v>5</v>
      </c>
      <c r="AA95" s="77">
        <f t="shared" si="36"/>
        <v>2.0494988570423773</v>
      </c>
      <c r="AB95" s="77">
        <f t="shared" si="36"/>
        <v>3.5179860881086453</v>
      </c>
      <c r="AC95" s="77">
        <f t="shared" si="36"/>
        <v>0</v>
      </c>
      <c r="AD95" s="77">
        <f t="shared" si="36"/>
        <v>0</v>
      </c>
      <c r="AE95" s="77">
        <f t="shared" si="36"/>
        <v>0</v>
      </c>
      <c r="AF95" s="77">
        <f t="shared" si="36"/>
        <v>0</v>
      </c>
      <c r="AG95" s="7"/>
      <c r="AH95" s="77">
        <v>2.7963583078086898</v>
      </c>
    </row>
    <row r="96" spans="1:65" x14ac:dyDescent="0.2">
      <c r="A96" s="3" t="s">
        <v>62</v>
      </c>
      <c r="B96" s="77">
        <f t="shared" ref="B96:AF96" si="37">B48/(B$9/1000)</f>
        <v>0</v>
      </c>
      <c r="C96" s="77">
        <f t="shared" si="37"/>
        <v>0</v>
      </c>
      <c r="D96" s="77">
        <f t="shared" si="37"/>
        <v>0</v>
      </c>
      <c r="E96" s="77">
        <f t="shared" si="37"/>
        <v>0</v>
      </c>
      <c r="F96" s="77">
        <f t="shared" si="37"/>
        <v>0</v>
      </c>
      <c r="G96" s="77">
        <f t="shared" si="37"/>
        <v>0</v>
      </c>
      <c r="H96" s="77">
        <f t="shared" si="37"/>
        <v>0</v>
      </c>
      <c r="I96" s="77">
        <f t="shared" si="37"/>
        <v>0</v>
      </c>
      <c r="J96" s="77">
        <f t="shared" si="37"/>
        <v>0</v>
      </c>
      <c r="K96" s="77">
        <f t="shared" si="37"/>
        <v>0</v>
      </c>
      <c r="L96" s="77">
        <f t="shared" si="37"/>
        <v>0</v>
      </c>
      <c r="M96" s="77">
        <f t="shared" si="37"/>
        <v>0</v>
      </c>
      <c r="N96" s="77">
        <f t="shared" si="37"/>
        <v>0</v>
      </c>
      <c r="O96" s="77">
        <f t="shared" si="37"/>
        <v>0</v>
      </c>
      <c r="P96" s="77">
        <f t="shared" si="37"/>
        <v>0</v>
      </c>
      <c r="Q96" s="77">
        <f t="shared" si="37"/>
        <v>0</v>
      </c>
      <c r="R96" s="77">
        <f t="shared" si="37"/>
        <v>0</v>
      </c>
      <c r="S96" s="77">
        <f t="shared" si="37"/>
        <v>0</v>
      </c>
      <c r="T96" s="77">
        <f t="shared" si="37"/>
        <v>0</v>
      </c>
      <c r="U96" s="77">
        <f t="shared" si="37"/>
        <v>0</v>
      </c>
      <c r="V96" s="77">
        <f t="shared" si="37"/>
        <v>0</v>
      </c>
      <c r="W96" s="77">
        <f t="shared" si="37"/>
        <v>0</v>
      </c>
      <c r="X96" s="77">
        <f t="shared" si="37"/>
        <v>0</v>
      </c>
      <c r="Y96" s="77">
        <f t="shared" si="37"/>
        <v>0</v>
      </c>
      <c r="Z96" s="77">
        <f t="shared" si="37"/>
        <v>0</v>
      </c>
      <c r="AA96" s="77">
        <f t="shared" si="37"/>
        <v>0</v>
      </c>
      <c r="AB96" s="77">
        <f t="shared" si="37"/>
        <v>0</v>
      </c>
      <c r="AC96" s="77">
        <f t="shared" si="37"/>
        <v>0</v>
      </c>
      <c r="AD96" s="77">
        <f t="shared" si="37"/>
        <v>0</v>
      </c>
      <c r="AE96" s="77">
        <f t="shared" si="37"/>
        <v>0</v>
      </c>
      <c r="AF96" s="77">
        <f t="shared" si="37"/>
        <v>0</v>
      </c>
      <c r="AG96" s="7"/>
      <c r="AH96" s="77">
        <v>0</v>
      </c>
    </row>
    <row r="97" spans="1:65" x14ac:dyDescent="0.2">
      <c r="A97" s="3" t="s">
        <v>63</v>
      </c>
      <c r="B97" s="77">
        <f t="shared" ref="B97:AF97" si="38">B49/(B$9/1000)</f>
        <v>0.12618899508002035</v>
      </c>
      <c r="C97" s="77">
        <f t="shared" si="38"/>
        <v>0.38843977364591753</v>
      </c>
      <c r="D97" s="77">
        <f t="shared" si="38"/>
        <v>8.624374213755745E-2</v>
      </c>
      <c r="E97" s="77">
        <f t="shared" si="38"/>
        <v>0</v>
      </c>
      <c r="F97" s="77">
        <f t="shared" si="38"/>
        <v>0.1299352789658354</v>
      </c>
      <c r="G97" s="77">
        <f t="shared" si="38"/>
        <v>0</v>
      </c>
      <c r="H97" s="77">
        <f t="shared" si="38"/>
        <v>4.193548387096774E-3</v>
      </c>
      <c r="I97" s="77">
        <f t="shared" si="38"/>
        <v>0.1158941499542315</v>
      </c>
      <c r="J97" s="77">
        <f t="shared" si="38"/>
        <v>0.10315461684267534</v>
      </c>
      <c r="K97" s="77">
        <f t="shared" si="38"/>
        <v>8.3018503868639903E-2</v>
      </c>
      <c r="L97" s="77">
        <f t="shared" si="38"/>
        <v>5.6333333333333331E-3</v>
      </c>
      <c r="M97" s="77">
        <f t="shared" si="38"/>
        <v>2.5442812786599042E-2</v>
      </c>
      <c r="N97" s="77">
        <f t="shared" si="38"/>
        <v>0.37602179836512262</v>
      </c>
      <c r="O97" s="77">
        <f t="shared" si="38"/>
        <v>0.13496186154291784</v>
      </c>
      <c r="P97" s="77">
        <f t="shared" si="38"/>
        <v>0.1339849108367627</v>
      </c>
      <c r="Q97" s="77">
        <f t="shared" si="38"/>
        <v>0.11485027156110653</v>
      </c>
      <c r="R97" s="77">
        <f t="shared" si="38"/>
        <v>0.17818425765125326</v>
      </c>
      <c r="S97" s="77">
        <f t="shared" si="38"/>
        <v>0.25000498454790149</v>
      </c>
      <c r="T97" s="77">
        <f t="shared" si="38"/>
        <v>0.36884397578597933</v>
      </c>
      <c r="U97" s="77">
        <f t="shared" si="38"/>
        <v>0</v>
      </c>
      <c r="V97" s="77">
        <f t="shared" si="38"/>
        <v>0.26987193889013705</v>
      </c>
      <c r="W97" s="77">
        <f t="shared" si="38"/>
        <v>9.376603954177011E-2</v>
      </c>
      <c r="X97" s="77">
        <f t="shared" si="38"/>
        <v>0.18000143909049482</v>
      </c>
      <c r="Y97" s="77">
        <f t="shared" si="38"/>
        <v>0</v>
      </c>
      <c r="Z97" s="77">
        <f t="shared" si="38"/>
        <v>0.1777857533846659</v>
      </c>
      <c r="AA97" s="77">
        <f t="shared" si="38"/>
        <v>0</v>
      </c>
      <c r="AB97" s="77">
        <f t="shared" si="38"/>
        <v>0.16594162894262265</v>
      </c>
      <c r="AC97" s="77">
        <f t="shared" si="38"/>
        <v>0</v>
      </c>
      <c r="AD97" s="77">
        <f t="shared" si="38"/>
        <v>0</v>
      </c>
      <c r="AE97" s="77">
        <f t="shared" si="38"/>
        <v>0</v>
      </c>
      <c r="AF97" s="77">
        <f t="shared" si="38"/>
        <v>0</v>
      </c>
      <c r="AG97" s="7"/>
      <c r="AH97" s="77">
        <v>0.12074088898675812</v>
      </c>
    </row>
    <row r="98" spans="1:65" ht="13.5" thickBot="1" x14ac:dyDescent="0.25">
      <c r="A98" s="3" t="s">
        <v>22</v>
      </c>
      <c r="B98" s="77">
        <f t="shared" ref="B98:AF98" si="39">B50/(B$9/1000)</f>
        <v>0.65655149013176495</v>
      </c>
      <c r="C98" s="77">
        <f t="shared" si="39"/>
        <v>0.97008892481810838</v>
      </c>
      <c r="D98" s="77">
        <f t="shared" si="39"/>
        <v>0.10269312726245795</v>
      </c>
      <c r="E98" s="77">
        <f t="shared" si="39"/>
        <v>0</v>
      </c>
      <c r="F98" s="77">
        <f t="shared" si="39"/>
        <v>8.5745938214906767E-2</v>
      </c>
      <c r="G98" s="77">
        <f t="shared" si="39"/>
        <v>0</v>
      </c>
      <c r="H98" s="77">
        <f t="shared" si="39"/>
        <v>0.10080645161290322</v>
      </c>
      <c r="I98" s="77">
        <f t="shared" si="39"/>
        <v>0.18723475076974286</v>
      </c>
      <c r="J98" s="77">
        <f t="shared" si="39"/>
        <v>0.13539128080151638</v>
      </c>
      <c r="K98" s="77">
        <f t="shared" si="39"/>
        <v>0.14471221564049627</v>
      </c>
      <c r="L98" s="77">
        <f t="shared" si="39"/>
        <v>0.2</v>
      </c>
      <c r="M98" s="77">
        <f t="shared" si="39"/>
        <v>7.7347211633020635E-2</v>
      </c>
      <c r="N98" s="77">
        <f t="shared" si="39"/>
        <v>1.176616299232103</v>
      </c>
      <c r="O98" s="77">
        <f t="shared" si="39"/>
        <v>9.6553055904219365E-2</v>
      </c>
      <c r="P98" s="77">
        <f t="shared" si="39"/>
        <v>0.1071673525377229</v>
      </c>
      <c r="Q98" s="77">
        <f t="shared" si="39"/>
        <v>0.10566580020710496</v>
      </c>
      <c r="R98" s="77">
        <f t="shared" si="39"/>
        <v>0.10820227332976266</v>
      </c>
      <c r="S98" s="77">
        <f t="shared" si="39"/>
        <v>0</v>
      </c>
      <c r="T98" s="77">
        <f t="shared" si="39"/>
        <v>0</v>
      </c>
      <c r="U98" s="77">
        <f t="shared" si="39"/>
        <v>0</v>
      </c>
      <c r="V98" s="77">
        <f t="shared" si="39"/>
        <v>0.94360817793754215</v>
      </c>
      <c r="W98" s="77">
        <f t="shared" si="39"/>
        <v>0.14837495887296981</v>
      </c>
      <c r="X98" s="77">
        <f t="shared" si="39"/>
        <v>0</v>
      </c>
      <c r="Y98" s="77">
        <f t="shared" si="39"/>
        <v>3.6695652173913045</v>
      </c>
      <c r="Z98" s="77">
        <f t="shared" si="39"/>
        <v>0</v>
      </c>
      <c r="AA98" s="77">
        <f t="shared" si="39"/>
        <v>0</v>
      </c>
      <c r="AB98" s="77">
        <f t="shared" si="39"/>
        <v>0.25762761768061537</v>
      </c>
      <c r="AC98" s="77">
        <f t="shared" si="39"/>
        <v>0</v>
      </c>
      <c r="AD98" s="77">
        <f t="shared" si="39"/>
        <v>10.462962962962964</v>
      </c>
      <c r="AE98" s="77">
        <f t="shared" si="39"/>
        <v>0</v>
      </c>
      <c r="AF98" s="77">
        <f t="shared" si="39"/>
        <v>0</v>
      </c>
      <c r="AG98" s="7"/>
      <c r="AH98" s="77">
        <v>0.13932116641837722</v>
      </c>
    </row>
    <row r="99" spans="1:65" s="43" customFormat="1" ht="13.5" thickBot="1" x14ac:dyDescent="0.25">
      <c r="A99" s="83" t="s">
        <v>42</v>
      </c>
      <c r="B99" s="84">
        <f t="shared" ref="B99:N99" si="40">SUM(B93:B97)</f>
        <v>3.8288412599672004</v>
      </c>
      <c r="C99" s="84">
        <f t="shared" si="40"/>
        <v>5.7658852061438957</v>
      </c>
      <c r="D99" s="84">
        <f>SUM(D93:D97)</f>
        <v>3.760937588251906</v>
      </c>
      <c r="E99" s="84">
        <f>SUM(E93:E97)</f>
        <v>0</v>
      </c>
      <c r="F99" s="84">
        <f t="shared" si="40"/>
        <v>3.3420124228715284</v>
      </c>
      <c r="G99" s="84">
        <f t="shared" si="40"/>
        <v>0</v>
      </c>
      <c r="H99" s="84">
        <f t="shared" si="40"/>
        <v>2.6791935483870968</v>
      </c>
      <c r="I99" s="84">
        <f t="shared" si="40"/>
        <v>3.8658941499542316</v>
      </c>
      <c r="J99" s="84">
        <f t="shared" si="40"/>
        <v>3.5090667027710079</v>
      </c>
      <c r="K99" s="84">
        <f t="shared" si="40"/>
        <v>3.5635749705751825</v>
      </c>
      <c r="L99" s="84">
        <f t="shared" si="40"/>
        <v>1.0056333333333334</v>
      </c>
      <c r="M99" s="84">
        <f>SUM(M93:M97)</f>
        <v>1.4247046993955867</v>
      </c>
      <c r="N99" s="84">
        <f t="shared" si="40"/>
        <v>3.7310131285608126</v>
      </c>
      <c r="O99" s="84">
        <f>SUM(O93:O97)</f>
        <v>3.3185169450613117</v>
      </c>
      <c r="P99" s="84">
        <f>SUM(P93:P97)</f>
        <v>3.3695730452674897</v>
      </c>
      <c r="Q99" s="84">
        <f>SUM(Q93:Q97)</f>
        <v>2.5950139831075609</v>
      </c>
      <c r="R99" s="84">
        <f>SUM(R93:R98)</f>
        <v>1.4768257781095981</v>
      </c>
      <c r="S99" s="84">
        <f t="shared" ref="S99:AB99" si="41">SUM(S93:S98)</f>
        <v>3.9010068786761041</v>
      </c>
      <c r="T99" s="84">
        <f t="shared" si="41"/>
        <v>1.7963581331771139</v>
      </c>
      <c r="U99" s="84">
        <f t="shared" si="41"/>
        <v>10</v>
      </c>
      <c r="V99" s="84">
        <f t="shared" si="41"/>
        <v>4.6360368456526624</v>
      </c>
      <c r="W99" s="84">
        <f t="shared" si="41"/>
        <v>4.08488319923429</v>
      </c>
      <c r="X99" s="84">
        <f>SUM(X93:X98)</f>
        <v>1.117770369126712</v>
      </c>
      <c r="Y99" s="84">
        <f t="shared" si="41"/>
        <v>10.169565217391305</v>
      </c>
      <c r="Z99" s="84">
        <f t="shared" si="41"/>
        <v>5.2761399481808562</v>
      </c>
      <c r="AA99" s="84">
        <f t="shared" si="41"/>
        <v>2.0494988570423773</v>
      </c>
      <c r="AB99" s="84">
        <f t="shared" si="41"/>
        <v>4.691553494534614</v>
      </c>
      <c r="AC99" s="84">
        <f>SUM(AC93:AC98)</f>
        <v>9.2068965517241388</v>
      </c>
      <c r="AD99" s="84">
        <f>SUM(AD93:AD98)</f>
        <v>19.75925925925926</v>
      </c>
      <c r="AE99" s="84">
        <f>SUM(AE93:AE98)</f>
        <v>0</v>
      </c>
      <c r="AF99" s="84">
        <f>SUM(AF93:AF98)</f>
        <v>0</v>
      </c>
      <c r="AG99" s="87"/>
      <c r="AH99" s="84">
        <v>3.1061408035380329</v>
      </c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</row>
    <row r="100" spans="1:65" ht="13.5" thickBot="1" x14ac:dyDescent="0.25">
      <c r="A100" s="17" t="s">
        <v>32</v>
      </c>
      <c r="B100" s="84">
        <f t="shared" ref="B100:AF101" si="42">B52/(B$9/1000)</f>
        <v>0</v>
      </c>
      <c r="C100" s="84">
        <f t="shared" si="42"/>
        <v>0</v>
      </c>
      <c r="D100" s="84">
        <f>D52/(D$9/1000)</f>
        <v>0</v>
      </c>
      <c r="E100" s="84">
        <f>E52/(E$9/1000)</f>
        <v>0</v>
      </c>
      <c r="F100" s="84">
        <f t="shared" si="42"/>
        <v>0</v>
      </c>
      <c r="G100" s="84">
        <f t="shared" si="42"/>
        <v>0.18197810196839648</v>
      </c>
      <c r="H100" s="84">
        <f t="shared" si="42"/>
        <v>0</v>
      </c>
      <c r="I100" s="84">
        <f>I52/(I$9/1000)</f>
        <v>0</v>
      </c>
      <c r="J100" s="84">
        <f>J52/(J$9/1000)</f>
        <v>0</v>
      </c>
      <c r="K100" s="84">
        <f t="shared" si="42"/>
        <v>0</v>
      </c>
      <c r="L100" s="84">
        <f t="shared" si="42"/>
        <v>0</v>
      </c>
      <c r="M100" s="84">
        <f>M52/(M$9/1000)</f>
        <v>0</v>
      </c>
      <c r="N100" s="84">
        <f t="shared" si="42"/>
        <v>0</v>
      </c>
      <c r="O100" s="84">
        <f t="shared" si="42"/>
        <v>0</v>
      </c>
      <c r="P100" s="84">
        <f t="shared" si="42"/>
        <v>0</v>
      </c>
      <c r="Q100" s="84">
        <f t="shared" si="42"/>
        <v>0</v>
      </c>
      <c r="R100" s="84">
        <f t="shared" si="42"/>
        <v>0</v>
      </c>
      <c r="S100" s="84">
        <f t="shared" si="42"/>
        <v>0</v>
      </c>
      <c r="T100" s="84">
        <f t="shared" si="42"/>
        <v>0</v>
      </c>
      <c r="U100" s="84">
        <f t="shared" si="42"/>
        <v>0</v>
      </c>
      <c r="V100" s="84">
        <f t="shared" si="42"/>
        <v>0</v>
      </c>
      <c r="W100" s="84">
        <f t="shared" si="42"/>
        <v>0</v>
      </c>
      <c r="X100" s="84">
        <f t="shared" si="42"/>
        <v>0</v>
      </c>
      <c r="Y100" s="84">
        <f t="shared" si="42"/>
        <v>0</v>
      </c>
      <c r="Z100" s="84">
        <f t="shared" si="42"/>
        <v>0</v>
      </c>
      <c r="AA100" s="84">
        <f t="shared" si="42"/>
        <v>0</v>
      </c>
      <c r="AB100" s="84">
        <f t="shared" si="42"/>
        <v>0</v>
      </c>
      <c r="AC100" s="84">
        <f>AC52/(AC$9/1000)</f>
        <v>0</v>
      </c>
      <c r="AD100" s="84">
        <f>AD52/(AD$9/1000)</f>
        <v>0</v>
      </c>
      <c r="AE100" s="84">
        <f t="shared" si="42"/>
        <v>0</v>
      </c>
      <c r="AF100" s="84">
        <f t="shared" si="42"/>
        <v>0</v>
      </c>
      <c r="AG100" s="90"/>
      <c r="AH100" s="84">
        <v>0.18197810196839648</v>
      </c>
    </row>
    <row r="101" spans="1:65" s="47" customFormat="1" ht="13.5" thickBot="1" x14ac:dyDescent="0.25">
      <c r="A101" s="83" t="s">
        <v>43</v>
      </c>
      <c r="B101" s="84">
        <f t="shared" si="42"/>
        <v>0</v>
      </c>
      <c r="C101" s="84">
        <f t="shared" si="42"/>
        <v>0</v>
      </c>
      <c r="D101" s="84">
        <f>D53/(D$9/1000)</f>
        <v>0</v>
      </c>
      <c r="E101" s="84">
        <f>E53/(E$9/1000)</f>
        <v>0.20833333333333334</v>
      </c>
      <c r="F101" s="84">
        <f t="shared" si="42"/>
        <v>0</v>
      </c>
      <c r="G101" s="84">
        <f>G53/(G$9/1000)</f>
        <v>2.6824360801916836</v>
      </c>
      <c r="H101" s="84">
        <f t="shared" si="42"/>
        <v>0</v>
      </c>
      <c r="I101" s="84">
        <f>I53/(I$9/1000)</f>
        <v>0</v>
      </c>
      <c r="J101" s="84">
        <f>J53/(J$9/1000)</f>
        <v>0</v>
      </c>
      <c r="K101" s="84">
        <f t="shared" si="42"/>
        <v>0</v>
      </c>
      <c r="L101" s="84">
        <f t="shared" si="42"/>
        <v>0</v>
      </c>
      <c r="M101" s="84">
        <f>M53/(M$9/1000)</f>
        <v>0.4782908476149435</v>
      </c>
      <c r="N101" s="84">
        <f t="shared" si="42"/>
        <v>0</v>
      </c>
      <c r="O101" s="84">
        <f t="shared" si="42"/>
        <v>0</v>
      </c>
      <c r="P101" s="84">
        <f t="shared" si="42"/>
        <v>0</v>
      </c>
      <c r="Q101" s="84">
        <f t="shared" si="42"/>
        <v>0</v>
      </c>
      <c r="R101" s="84">
        <f>R53/(R$9/1000)</f>
        <v>0</v>
      </c>
      <c r="S101" s="84">
        <f t="shared" si="42"/>
        <v>0</v>
      </c>
      <c r="T101" s="84">
        <f t="shared" si="42"/>
        <v>0</v>
      </c>
      <c r="U101" s="84">
        <f t="shared" si="42"/>
        <v>0</v>
      </c>
      <c r="V101" s="84">
        <f t="shared" si="42"/>
        <v>0</v>
      </c>
      <c r="W101" s="84">
        <f t="shared" si="42"/>
        <v>0</v>
      </c>
      <c r="X101" s="84">
        <f t="shared" si="42"/>
        <v>0</v>
      </c>
      <c r="Y101" s="84">
        <f t="shared" si="42"/>
        <v>0</v>
      </c>
      <c r="Z101" s="84">
        <f t="shared" si="42"/>
        <v>0</v>
      </c>
      <c r="AA101" s="84">
        <f t="shared" si="42"/>
        <v>0</v>
      </c>
      <c r="AB101" s="84">
        <f t="shared" si="42"/>
        <v>0</v>
      </c>
      <c r="AC101" s="84">
        <f>AC53/(AC$9/1000)</f>
        <v>0</v>
      </c>
      <c r="AD101" s="84">
        <f>AD53/(AD$9/1000)</f>
        <v>0</v>
      </c>
      <c r="AE101" s="84">
        <f t="shared" si="42"/>
        <v>0</v>
      </c>
      <c r="AF101" s="84">
        <f t="shared" si="42"/>
        <v>0</v>
      </c>
      <c r="AG101" s="87"/>
      <c r="AH101" s="84">
        <v>0.92714820440490398</v>
      </c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</row>
    <row r="102" spans="1:65" ht="13.5" thickBot="1" x14ac:dyDescent="0.25">
      <c r="A102" s="101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8"/>
      <c r="AH102" s="77"/>
    </row>
    <row r="103" spans="1:65" ht="13.5" thickBot="1" x14ac:dyDescent="0.25">
      <c r="A103" s="83" t="s">
        <v>21</v>
      </c>
      <c r="B103" s="84">
        <f t="shared" ref="B103:AF103" si="43">B55/(B$9/1000)</f>
        <v>0</v>
      </c>
      <c r="C103" s="84">
        <f t="shared" si="43"/>
        <v>0</v>
      </c>
      <c r="D103" s="84">
        <f t="shared" si="43"/>
        <v>0</v>
      </c>
      <c r="E103" s="84">
        <f t="shared" si="43"/>
        <v>0</v>
      </c>
      <c r="F103" s="84">
        <f t="shared" si="43"/>
        <v>0</v>
      </c>
      <c r="G103" s="84">
        <f t="shared" si="43"/>
        <v>0</v>
      </c>
      <c r="H103" s="84">
        <f t="shared" si="43"/>
        <v>0</v>
      </c>
      <c r="I103" s="84">
        <f t="shared" si="43"/>
        <v>0</v>
      </c>
      <c r="J103" s="84">
        <f t="shared" si="43"/>
        <v>0</v>
      </c>
      <c r="K103" s="84">
        <f t="shared" si="43"/>
        <v>0</v>
      </c>
      <c r="L103" s="84">
        <f t="shared" si="43"/>
        <v>0</v>
      </c>
      <c r="M103" s="84">
        <f t="shared" si="43"/>
        <v>0</v>
      </c>
      <c r="N103" s="84">
        <f t="shared" si="43"/>
        <v>0</v>
      </c>
      <c r="O103" s="84">
        <f t="shared" si="43"/>
        <v>0</v>
      </c>
      <c r="P103" s="84">
        <f t="shared" si="43"/>
        <v>0</v>
      </c>
      <c r="Q103" s="84">
        <f t="shared" si="43"/>
        <v>0</v>
      </c>
      <c r="R103" s="84">
        <f>R55/(R$9/1000)</f>
        <v>0</v>
      </c>
      <c r="S103" s="84">
        <f t="shared" si="43"/>
        <v>0</v>
      </c>
      <c r="T103" s="84">
        <f t="shared" si="43"/>
        <v>0</v>
      </c>
      <c r="U103" s="84">
        <f t="shared" si="43"/>
        <v>0</v>
      </c>
      <c r="V103" s="84">
        <f t="shared" si="43"/>
        <v>0</v>
      </c>
      <c r="W103" s="84">
        <f t="shared" si="43"/>
        <v>0</v>
      </c>
      <c r="X103" s="84">
        <f t="shared" si="43"/>
        <v>0</v>
      </c>
      <c r="Y103" s="84">
        <f t="shared" si="43"/>
        <v>0</v>
      </c>
      <c r="Z103" s="84">
        <f t="shared" si="43"/>
        <v>0</v>
      </c>
      <c r="AA103" s="84">
        <f t="shared" si="43"/>
        <v>0</v>
      </c>
      <c r="AB103" s="84">
        <f t="shared" si="43"/>
        <v>0</v>
      </c>
      <c r="AC103" s="84">
        <f>AC55/(AC$9/1000)</f>
        <v>0</v>
      </c>
      <c r="AD103" s="84">
        <f>AD55/(AD$9/1000)</f>
        <v>0</v>
      </c>
      <c r="AE103" s="84">
        <f t="shared" si="43"/>
        <v>0</v>
      </c>
      <c r="AF103" s="84">
        <f t="shared" si="43"/>
        <v>0</v>
      </c>
      <c r="AG103" s="102"/>
      <c r="AH103" s="84">
        <v>0</v>
      </c>
    </row>
    <row r="104" spans="1:65" ht="13.5" thickBot="1" x14ac:dyDescent="0.25">
      <c r="A104" s="25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8"/>
      <c r="AH104" s="77"/>
    </row>
    <row r="105" spans="1:65" s="43" customFormat="1" x14ac:dyDescent="0.2">
      <c r="A105" s="62" t="s">
        <v>46</v>
      </c>
      <c r="B105" s="88">
        <f t="shared" ref="B105:W106" si="44">B57/(B$9/1000)</f>
        <v>7.2013685460611887</v>
      </c>
      <c r="C105" s="88">
        <f t="shared" si="44"/>
        <v>13.969523039611964</v>
      </c>
      <c r="D105" s="88">
        <f>D57/(D$9/1000)</f>
        <v>4.6415558008780264</v>
      </c>
      <c r="E105" s="88">
        <f>E57/(E$9/1000)</f>
        <v>1.1808000000000001</v>
      </c>
      <c r="F105" s="88">
        <f t="shared" si="44"/>
        <v>4.0911348989398375</v>
      </c>
      <c r="G105" s="88">
        <f>G57/(G$9/1000)</f>
        <v>4.0140365775984961</v>
      </c>
      <c r="H105" s="88">
        <f t="shared" si="44"/>
        <v>3.7557728494623657</v>
      </c>
      <c r="I105" s="88">
        <f t="shared" si="44"/>
        <v>5.0038154281434633</v>
      </c>
      <c r="J105" s="88">
        <f t="shared" si="44"/>
        <v>4.5852152721364741</v>
      </c>
      <c r="K105" s="88">
        <f t="shared" si="44"/>
        <v>4.7994751770312769</v>
      </c>
      <c r="L105" s="88">
        <f t="shared" si="44"/>
        <v>2.7132933333333331</v>
      </c>
      <c r="M105" s="88">
        <f t="shared" si="44"/>
        <v>2.9775206903791118</v>
      </c>
      <c r="N105" s="88">
        <f t="shared" si="44"/>
        <v>10.25957394104533</v>
      </c>
      <c r="O105" s="88">
        <f t="shared" si="44"/>
        <v>4.5644066814714686</v>
      </c>
      <c r="P105" s="88">
        <f t="shared" si="44"/>
        <v>4.6452589163237308</v>
      </c>
      <c r="Q105" s="88">
        <f t="shared" si="44"/>
        <v>4.0036743520925349</v>
      </c>
      <c r="R105" s="88">
        <f t="shared" si="44"/>
        <v>3.3934829770773485</v>
      </c>
      <c r="S105" s="88">
        <f t="shared" si="44"/>
        <v>6.9511115541820354</v>
      </c>
      <c r="T105" s="88">
        <f t="shared" si="44"/>
        <v>4.5283928920132785</v>
      </c>
      <c r="U105" s="88">
        <f t="shared" si="44"/>
        <v>44.821655172413791</v>
      </c>
      <c r="V105" s="88">
        <f t="shared" si="44"/>
        <v>11.888564367557851</v>
      </c>
      <c r="W105" s="88">
        <f t="shared" si="44"/>
        <v>5.6189333891663926</v>
      </c>
      <c r="X105" s="88">
        <f>X57/(X$9/1000)</f>
        <v>2.9093852685103014</v>
      </c>
      <c r="Y105" s="88">
        <f t="shared" ref="Y105:AF106" si="45">Y57/(Y$9/1000)</f>
        <v>26.82895652173913</v>
      </c>
      <c r="Z105" s="88">
        <f t="shared" si="45"/>
        <v>10.216347224756413</v>
      </c>
      <c r="AA105" s="88">
        <f t="shared" si="45"/>
        <v>3.9856866537717601</v>
      </c>
      <c r="AB105" s="88">
        <f t="shared" si="45"/>
        <v>6.8107688344190498</v>
      </c>
      <c r="AC105" s="88">
        <f t="shared" si="45"/>
        <v>77.410689655172419</v>
      </c>
      <c r="AD105" s="88">
        <f t="shared" si="45"/>
        <v>90.460740740740746</v>
      </c>
      <c r="AE105" s="88">
        <f t="shared" si="45"/>
        <v>32.871913043478258</v>
      </c>
      <c r="AF105" s="88">
        <f t="shared" si="45"/>
        <v>14.378189938633675</v>
      </c>
      <c r="AG105" s="90"/>
      <c r="AH105" s="88">
        <v>4.6956428796766509</v>
      </c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</row>
    <row r="106" spans="1:65" s="47" customFormat="1" ht="13.5" thickBot="1" x14ac:dyDescent="0.25">
      <c r="A106" s="65" t="s">
        <v>44</v>
      </c>
      <c r="B106" s="80">
        <f t="shared" si="44"/>
        <v>7.2013685460611887</v>
      </c>
      <c r="C106" s="80">
        <f t="shared" si="44"/>
        <v>13.969523039611964</v>
      </c>
      <c r="D106" s="80">
        <f>D58/(D$9/1000)</f>
        <v>4.6415558008780264</v>
      </c>
      <c r="E106" s="80">
        <f>E58/(E$9/1000)</f>
        <v>1.1808000000000001</v>
      </c>
      <c r="F106" s="80">
        <f t="shared" si="44"/>
        <v>4.0911348989398375</v>
      </c>
      <c r="G106" s="80">
        <f>G58/(G$9/1000)</f>
        <v>4.0140365775984961</v>
      </c>
      <c r="H106" s="80">
        <f t="shared" si="44"/>
        <v>3.7557728494623657</v>
      </c>
      <c r="I106" s="80">
        <f t="shared" si="44"/>
        <v>5.0038154281434633</v>
      </c>
      <c r="J106" s="80">
        <f t="shared" si="44"/>
        <v>4.5852152721364741</v>
      </c>
      <c r="K106" s="80">
        <f t="shared" si="44"/>
        <v>4.7994751770312769</v>
      </c>
      <c r="L106" s="80">
        <f t="shared" si="44"/>
        <v>2.7132933333333331</v>
      </c>
      <c r="M106" s="80">
        <f t="shared" si="44"/>
        <v>2.9775206903791118</v>
      </c>
      <c r="N106" s="80">
        <f t="shared" si="44"/>
        <v>10.25957394104533</v>
      </c>
      <c r="O106" s="80">
        <f t="shared" si="44"/>
        <v>4.5644066814714686</v>
      </c>
      <c r="P106" s="80">
        <f t="shared" si="44"/>
        <v>4.6452589163237308</v>
      </c>
      <c r="Q106" s="80">
        <f t="shared" si="44"/>
        <v>4.0036743520925349</v>
      </c>
      <c r="R106" s="80">
        <f t="shared" si="44"/>
        <v>3.3934829770773485</v>
      </c>
      <c r="S106" s="80">
        <f t="shared" si="44"/>
        <v>6.9511115541820354</v>
      </c>
      <c r="T106" s="80">
        <f t="shared" si="44"/>
        <v>4.5283928920132785</v>
      </c>
      <c r="U106" s="80">
        <f t="shared" si="44"/>
        <v>44.821655172413791</v>
      </c>
      <c r="V106" s="80">
        <f t="shared" si="44"/>
        <v>11.888564367557851</v>
      </c>
      <c r="W106" s="80">
        <f t="shared" si="44"/>
        <v>5.6189333891663926</v>
      </c>
      <c r="X106" s="80">
        <f>X58/(X$9/1000)</f>
        <v>2.9093852685103014</v>
      </c>
      <c r="Y106" s="80">
        <f t="shared" si="45"/>
        <v>26.82895652173913</v>
      </c>
      <c r="Z106" s="80">
        <f t="shared" si="45"/>
        <v>10.216347224756413</v>
      </c>
      <c r="AA106" s="80">
        <f t="shared" si="45"/>
        <v>3.9856866537717601</v>
      </c>
      <c r="AB106" s="80">
        <f t="shared" si="45"/>
        <v>6.8107688344190498</v>
      </c>
      <c r="AC106" s="80">
        <f t="shared" si="45"/>
        <v>77.410689655172419</v>
      </c>
      <c r="AD106" s="80">
        <f t="shared" si="45"/>
        <v>90.460740740740746</v>
      </c>
      <c r="AE106" s="80">
        <f t="shared" si="45"/>
        <v>35.442782608695651</v>
      </c>
      <c r="AF106" s="80">
        <f t="shared" si="45"/>
        <v>14.378189938633675</v>
      </c>
      <c r="AG106" s="212"/>
      <c r="AH106" s="80">
        <v>4.7031184679629447</v>
      </c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</row>
    <row r="107" spans="1:65" x14ac:dyDescent="0.2">
      <c r="A107" s="25"/>
      <c r="AG107" s="9"/>
      <c r="AH107" s="31"/>
    </row>
    <row r="108" spans="1:65" s="76" customFormat="1" x14ac:dyDescent="0.2">
      <c r="A108" s="91" t="s">
        <v>24</v>
      </c>
      <c r="B108" s="129">
        <v>2575368</v>
      </c>
      <c r="C108" s="129">
        <v>1214455</v>
      </c>
      <c r="D108" s="129">
        <v>120196998</v>
      </c>
      <c r="E108" s="129">
        <v>0</v>
      </c>
      <c r="F108" s="129">
        <v>82894031</v>
      </c>
      <c r="G108" s="129">
        <v>0</v>
      </c>
      <c r="H108" s="129">
        <v>0</v>
      </c>
      <c r="I108" s="129">
        <v>0</v>
      </c>
      <c r="J108" s="129">
        <v>25852034</v>
      </c>
      <c r="K108" s="129">
        <v>0</v>
      </c>
      <c r="L108" s="129">
        <v>0</v>
      </c>
      <c r="M108" s="129">
        <v>0</v>
      </c>
      <c r="N108" s="129">
        <v>6270528</v>
      </c>
      <c r="O108" s="129">
        <v>0</v>
      </c>
      <c r="P108" s="129">
        <v>0</v>
      </c>
      <c r="Q108" s="129">
        <v>24857885</v>
      </c>
      <c r="R108" s="129">
        <v>0</v>
      </c>
      <c r="S108" s="129">
        <v>2640371</v>
      </c>
      <c r="T108" s="129">
        <v>0</v>
      </c>
      <c r="U108" s="129">
        <v>0</v>
      </c>
      <c r="V108" s="129">
        <v>1589977</v>
      </c>
      <c r="W108" s="129">
        <v>0</v>
      </c>
      <c r="X108" s="129">
        <v>8354302</v>
      </c>
      <c r="Y108" s="129">
        <v>0</v>
      </c>
      <c r="Z108" s="129">
        <v>0</v>
      </c>
      <c r="AA108" s="129">
        <v>0</v>
      </c>
      <c r="AB108" s="129">
        <v>13827473.130000001</v>
      </c>
      <c r="AC108" s="129">
        <v>0</v>
      </c>
      <c r="AD108" s="129">
        <v>0</v>
      </c>
      <c r="AE108" s="129">
        <v>0</v>
      </c>
      <c r="AF108" s="129">
        <v>0</v>
      </c>
      <c r="AG108" s="130"/>
      <c r="AH108" s="129">
        <f>SUM(B108:AF108)</f>
        <v>290273422.13</v>
      </c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  <c r="BH108" s="92"/>
      <c r="BI108" s="92"/>
      <c r="BJ108" s="92"/>
      <c r="BK108" s="92"/>
      <c r="BL108" s="92"/>
      <c r="BM108" s="92"/>
    </row>
    <row r="109" spans="1:65" s="94" customFormat="1" x14ac:dyDescent="0.2">
      <c r="A109" s="93" t="s">
        <v>25</v>
      </c>
      <c r="B109" s="128">
        <v>3173221</v>
      </c>
      <c r="C109" s="128">
        <v>1711570</v>
      </c>
      <c r="D109" s="128">
        <v>153689065</v>
      </c>
      <c r="E109" s="128"/>
      <c r="F109" s="128">
        <v>101762469</v>
      </c>
      <c r="G109" s="128">
        <v>0</v>
      </c>
      <c r="H109" s="128">
        <v>0</v>
      </c>
      <c r="I109" s="128">
        <v>0</v>
      </c>
      <c r="J109" s="128">
        <v>41592403</v>
      </c>
      <c r="K109" s="128">
        <v>0</v>
      </c>
      <c r="L109" s="128">
        <v>0</v>
      </c>
      <c r="M109" s="128">
        <v>0</v>
      </c>
      <c r="N109" s="128">
        <v>6885538</v>
      </c>
      <c r="O109" s="128">
        <v>0</v>
      </c>
      <c r="P109" s="128">
        <v>0</v>
      </c>
      <c r="Q109" s="128">
        <v>25633659</v>
      </c>
      <c r="R109" s="128">
        <v>0</v>
      </c>
      <c r="S109" s="128">
        <v>3116482</v>
      </c>
      <c r="T109" s="128">
        <v>0</v>
      </c>
      <c r="U109" s="128">
        <v>0</v>
      </c>
      <c r="V109" s="128">
        <v>1867139</v>
      </c>
      <c r="W109" s="128">
        <v>0</v>
      </c>
      <c r="X109" s="128">
        <v>8942319</v>
      </c>
      <c r="Y109" s="128">
        <v>0</v>
      </c>
      <c r="Z109" s="128">
        <v>0</v>
      </c>
      <c r="AA109" s="128">
        <v>0</v>
      </c>
      <c r="AB109" s="128">
        <v>27938803.5</v>
      </c>
      <c r="AC109" s="128">
        <v>0</v>
      </c>
      <c r="AD109" s="128">
        <v>0</v>
      </c>
      <c r="AE109" s="128">
        <v>0</v>
      </c>
      <c r="AF109" s="128">
        <v>0</v>
      </c>
      <c r="AG109" s="131"/>
      <c r="AH109" s="128">
        <f>SUM(B109:AF109)</f>
        <v>376312668.5</v>
      </c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  <c r="BH109" s="92"/>
      <c r="BI109" s="92"/>
      <c r="BJ109" s="92"/>
      <c r="BK109" s="92"/>
      <c r="BL109" s="92"/>
      <c r="BM109" s="92"/>
    </row>
    <row r="110" spans="1:65" x14ac:dyDescent="0.2">
      <c r="AG110" s="22"/>
    </row>
    <row r="111" spans="1:65" x14ac:dyDescent="0.2">
      <c r="AG111" s="22"/>
    </row>
    <row r="112" spans="1:65" x14ac:dyDescent="0.2">
      <c r="AG112" s="22"/>
    </row>
    <row r="113" spans="33:33" x14ac:dyDescent="0.2">
      <c r="AG113" s="22"/>
    </row>
    <row r="114" spans="33:33" x14ac:dyDescent="0.2">
      <c r="AG114" s="22"/>
    </row>
    <row r="115" spans="33:33" x14ac:dyDescent="0.2">
      <c r="AG115" s="22"/>
    </row>
    <row r="116" spans="33:33" x14ac:dyDescent="0.2">
      <c r="AG116" s="22"/>
    </row>
    <row r="117" spans="33:33" x14ac:dyDescent="0.2">
      <c r="AG117" s="22"/>
    </row>
    <row r="118" spans="33:33" x14ac:dyDescent="0.2">
      <c r="AG118" s="22"/>
    </row>
    <row r="119" spans="33:33" x14ac:dyDescent="0.2">
      <c r="AG119" s="22"/>
    </row>
    <row r="120" spans="33:33" x14ac:dyDescent="0.2">
      <c r="AG120" s="22"/>
    </row>
    <row r="121" spans="33:33" x14ac:dyDescent="0.2">
      <c r="AG121" s="22"/>
    </row>
    <row r="122" spans="33:33" x14ac:dyDescent="0.2">
      <c r="AG122" s="22"/>
    </row>
    <row r="123" spans="33:33" x14ac:dyDescent="0.2">
      <c r="AG123" s="22"/>
    </row>
    <row r="124" spans="33:33" x14ac:dyDescent="0.2">
      <c r="AG124" s="22"/>
    </row>
    <row r="125" spans="33:33" x14ac:dyDescent="0.2">
      <c r="AG125" s="22"/>
    </row>
    <row r="126" spans="33:33" x14ac:dyDescent="0.2">
      <c r="AG126" s="22"/>
    </row>
    <row r="127" spans="33:33" x14ac:dyDescent="0.2">
      <c r="AG127" s="22"/>
    </row>
    <row r="128" spans="33:33" x14ac:dyDescent="0.2">
      <c r="AG128" s="22"/>
    </row>
    <row r="129" spans="33:33" x14ac:dyDescent="0.2">
      <c r="AG129" s="22"/>
    </row>
    <row r="130" spans="33:33" x14ac:dyDescent="0.2">
      <c r="AG130" s="22"/>
    </row>
    <row r="131" spans="33:33" x14ac:dyDescent="0.2">
      <c r="AG131" s="22"/>
    </row>
    <row r="132" spans="33:33" x14ac:dyDescent="0.2">
      <c r="AG132" s="22"/>
    </row>
    <row r="133" spans="33:33" x14ac:dyDescent="0.2">
      <c r="AG133" s="22"/>
    </row>
    <row r="134" spans="33:33" x14ac:dyDescent="0.2">
      <c r="AG134" s="22"/>
    </row>
    <row r="135" spans="33:33" x14ac:dyDescent="0.2">
      <c r="AG135" s="22"/>
    </row>
    <row r="136" spans="33:33" x14ac:dyDescent="0.2">
      <c r="AG136" s="22"/>
    </row>
    <row r="137" spans="33:33" x14ac:dyDescent="0.2">
      <c r="AG137" s="22"/>
    </row>
    <row r="138" spans="33:33" x14ac:dyDescent="0.2">
      <c r="AG138" s="22"/>
    </row>
    <row r="139" spans="33:33" x14ac:dyDescent="0.2">
      <c r="AG139" s="22"/>
    </row>
    <row r="140" spans="33:33" x14ac:dyDescent="0.2">
      <c r="AG140" s="22"/>
    </row>
    <row r="141" spans="33:33" x14ac:dyDescent="0.2">
      <c r="AG141" s="22"/>
    </row>
    <row r="142" spans="33:33" x14ac:dyDescent="0.2">
      <c r="AG142" s="22"/>
    </row>
    <row r="143" spans="33:33" x14ac:dyDescent="0.2">
      <c r="AG143" s="22"/>
    </row>
    <row r="144" spans="33:33" x14ac:dyDescent="0.2">
      <c r="AG144" s="22"/>
    </row>
    <row r="145" spans="33:33" x14ac:dyDescent="0.2">
      <c r="AG145" s="22"/>
    </row>
    <row r="146" spans="33:33" x14ac:dyDescent="0.2">
      <c r="AG146" s="22"/>
    </row>
    <row r="147" spans="33:33" x14ac:dyDescent="0.2">
      <c r="AG147" s="22"/>
    </row>
    <row r="148" spans="33:33" x14ac:dyDescent="0.2">
      <c r="AG148" s="22"/>
    </row>
    <row r="149" spans="33:33" x14ac:dyDescent="0.2">
      <c r="AG149" s="22"/>
    </row>
    <row r="150" spans="33:33" x14ac:dyDescent="0.2">
      <c r="AG150" s="22"/>
    </row>
    <row r="151" spans="33:33" x14ac:dyDescent="0.2">
      <c r="AG151" s="22"/>
    </row>
    <row r="152" spans="33:33" x14ac:dyDescent="0.2">
      <c r="AG152" s="22"/>
    </row>
    <row r="153" spans="33:33" x14ac:dyDescent="0.2">
      <c r="AG153" s="22"/>
    </row>
    <row r="154" spans="33:33" x14ac:dyDescent="0.2">
      <c r="AG154" s="22"/>
    </row>
    <row r="155" spans="33:33" x14ac:dyDescent="0.2">
      <c r="AG155" s="22"/>
    </row>
    <row r="156" spans="33:33" x14ac:dyDescent="0.2">
      <c r="AG156" s="22"/>
    </row>
    <row r="157" spans="33:33" x14ac:dyDescent="0.2">
      <c r="AG157" s="22"/>
    </row>
    <row r="158" spans="33:33" x14ac:dyDescent="0.2">
      <c r="AG158" s="22"/>
    </row>
    <row r="159" spans="33:33" x14ac:dyDescent="0.2">
      <c r="AG159" s="22"/>
    </row>
    <row r="160" spans="33:33" x14ac:dyDescent="0.2">
      <c r="AG160" s="22"/>
    </row>
    <row r="161" spans="33:33" x14ac:dyDescent="0.2">
      <c r="AG161" s="22"/>
    </row>
    <row r="162" spans="33:33" x14ac:dyDescent="0.2">
      <c r="AG162" s="22"/>
    </row>
    <row r="163" spans="33:33" x14ac:dyDescent="0.2">
      <c r="AG163" s="22"/>
    </row>
    <row r="164" spans="33:33" x14ac:dyDescent="0.2">
      <c r="AG164" s="22"/>
    </row>
    <row r="165" spans="33:33" x14ac:dyDescent="0.2">
      <c r="AG165" s="22"/>
    </row>
    <row r="166" spans="33:33" x14ac:dyDescent="0.2">
      <c r="AG166" s="22"/>
    </row>
    <row r="167" spans="33:33" x14ac:dyDescent="0.2">
      <c r="AG167" s="22"/>
    </row>
    <row r="168" spans="33:33" x14ac:dyDescent="0.2">
      <c r="AG168" s="22"/>
    </row>
    <row r="169" spans="33:33" x14ac:dyDescent="0.2">
      <c r="AG169" s="22"/>
    </row>
    <row r="170" spans="33:33" x14ac:dyDescent="0.2">
      <c r="AG170" s="22"/>
    </row>
    <row r="171" spans="33:33" x14ac:dyDescent="0.2">
      <c r="AG171" s="22"/>
    </row>
    <row r="172" spans="33:33" x14ac:dyDescent="0.2">
      <c r="AG172" s="22"/>
    </row>
    <row r="173" spans="33:33" x14ac:dyDescent="0.2">
      <c r="AG173" s="22"/>
    </row>
    <row r="174" spans="33:33" x14ac:dyDescent="0.2">
      <c r="AG174" s="22"/>
    </row>
    <row r="175" spans="33:33" x14ac:dyDescent="0.2">
      <c r="AG175" s="22"/>
    </row>
    <row r="176" spans="33:33" x14ac:dyDescent="0.2">
      <c r="AG176" s="22"/>
    </row>
    <row r="177" spans="33:33" x14ac:dyDescent="0.2">
      <c r="AG177" s="22"/>
    </row>
    <row r="178" spans="33:33" x14ac:dyDescent="0.2">
      <c r="AG178" s="22"/>
    </row>
    <row r="179" spans="33:33" x14ac:dyDescent="0.2">
      <c r="AG179" s="22"/>
    </row>
    <row r="180" spans="33:33" x14ac:dyDescent="0.2">
      <c r="AG180" s="22"/>
    </row>
    <row r="181" spans="33:33" x14ac:dyDescent="0.2">
      <c r="AG181" s="22"/>
    </row>
    <row r="182" spans="33:33" x14ac:dyDescent="0.2">
      <c r="AG182" s="22"/>
    </row>
    <row r="183" spans="33:33" x14ac:dyDescent="0.2">
      <c r="AG183" s="22"/>
    </row>
    <row r="184" spans="33:33" x14ac:dyDescent="0.2">
      <c r="AG184" s="22"/>
    </row>
    <row r="185" spans="33:33" x14ac:dyDescent="0.2">
      <c r="AG185" s="22"/>
    </row>
    <row r="186" spans="33:33" x14ac:dyDescent="0.2">
      <c r="AG186" s="22"/>
    </row>
    <row r="187" spans="33:33" x14ac:dyDescent="0.2">
      <c r="AG187" s="22"/>
    </row>
    <row r="188" spans="33:33" x14ac:dyDescent="0.2">
      <c r="AG188" s="22"/>
    </row>
    <row r="189" spans="33:33" x14ac:dyDescent="0.2">
      <c r="AG189" s="22"/>
    </row>
    <row r="190" spans="33:33" x14ac:dyDescent="0.2">
      <c r="AG190" s="22"/>
    </row>
    <row r="191" spans="33:33" x14ac:dyDescent="0.2">
      <c r="AG191" s="22"/>
    </row>
    <row r="192" spans="33:33" x14ac:dyDescent="0.2">
      <c r="AG192" s="22"/>
    </row>
    <row r="193" spans="33:33" x14ac:dyDescent="0.2">
      <c r="AG193" s="22"/>
    </row>
    <row r="194" spans="33:33" x14ac:dyDescent="0.2">
      <c r="AG194" s="22"/>
    </row>
    <row r="195" spans="33:33" x14ac:dyDescent="0.2">
      <c r="AG195" s="22"/>
    </row>
    <row r="196" spans="33:33" x14ac:dyDescent="0.2">
      <c r="AG196" s="22"/>
    </row>
    <row r="197" spans="33:33" x14ac:dyDescent="0.2">
      <c r="AG197" s="22"/>
    </row>
    <row r="198" spans="33:33" x14ac:dyDescent="0.2">
      <c r="AG198" s="22"/>
    </row>
    <row r="199" spans="33:33" x14ac:dyDescent="0.2">
      <c r="AG199" s="22"/>
    </row>
    <row r="200" spans="33:33" x14ac:dyDescent="0.2">
      <c r="AG200" s="22"/>
    </row>
    <row r="201" spans="33:33" x14ac:dyDescent="0.2">
      <c r="AG201" s="22"/>
    </row>
    <row r="202" spans="33:33" x14ac:dyDescent="0.2">
      <c r="AG202" s="22"/>
    </row>
    <row r="203" spans="33:33" x14ac:dyDescent="0.2">
      <c r="AG203" s="22"/>
    </row>
    <row r="204" spans="33:33" x14ac:dyDescent="0.2">
      <c r="AG204" s="22"/>
    </row>
    <row r="205" spans="33:33" x14ac:dyDescent="0.2">
      <c r="AG205" s="22"/>
    </row>
    <row r="206" spans="33:33" x14ac:dyDescent="0.2">
      <c r="AG206" s="22"/>
    </row>
    <row r="207" spans="33:33" x14ac:dyDescent="0.2">
      <c r="AG207" s="22"/>
    </row>
    <row r="208" spans="33:33" x14ac:dyDescent="0.2">
      <c r="AG208" s="22"/>
    </row>
    <row r="209" spans="33:33" x14ac:dyDescent="0.2">
      <c r="AG209" s="22"/>
    </row>
    <row r="210" spans="33:33" x14ac:dyDescent="0.2">
      <c r="AG210" s="22"/>
    </row>
    <row r="211" spans="33:33" x14ac:dyDescent="0.2">
      <c r="AG211" s="22"/>
    </row>
    <row r="212" spans="33:33" x14ac:dyDescent="0.2">
      <c r="AG212" s="22"/>
    </row>
    <row r="213" spans="33:33" x14ac:dyDescent="0.2">
      <c r="AG213" s="22"/>
    </row>
    <row r="214" spans="33:33" x14ac:dyDescent="0.2">
      <c r="AG214" s="22"/>
    </row>
    <row r="215" spans="33:33" x14ac:dyDescent="0.2">
      <c r="AG215" s="22"/>
    </row>
    <row r="216" spans="33:33" x14ac:dyDescent="0.2">
      <c r="AG216" s="22"/>
    </row>
    <row r="217" spans="33:33" x14ac:dyDescent="0.2">
      <c r="AG217" s="22"/>
    </row>
    <row r="218" spans="33:33" x14ac:dyDescent="0.2">
      <c r="AG218" s="22"/>
    </row>
    <row r="219" spans="33:33" x14ac:dyDescent="0.2">
      <c r="AG219" s="22"/>
    </row>
    <row r="220" spans="33:33" x14ac:dyDescent="0.2">
      <c r="AG220" s="22"/>
    </row>
    <row r="221" spans="33:33" x14ac:dyDescent="0.2">
      <c r="AG221" s="22"/>
    </row>
    <row r="222" spans="33:33" x14ac:dyDescent="0.2">
      <c r="AG222" s="22"/>
    </row>
    <row r="223" spans="33:33" x14ac:dyDescent="0.2">
      <c r="AG223" s="22"/>
    </row>
    <row r="224" spans="33:33" x14ac:dyDescent="0.2">
      <c r="AG224" s="22"/>
    </row>
    <row r="225" spans="33:33" x14ac:dyDescent="0.2">
      <c r="AG225" s="22"/>
    </row>
    <row r="226" spans="33:33" x14ac:dyDescent="0.2">
      <c r="AG226" s="22"/>
    </row>
    <row r="227" spans="33:33" x14ac:dyDescent="0.2">
      <c r="AG227" s="22"/>
    </row>
    <row r="228" spans="33:33" x14ac:dyDescent="0.2">
      <c r="AG228" s="22"/>
    </row>
    <row r="229" spans="33:33" x14ac:dyDescent="0.2">
      <c r="AG229" s="22"/>
    </row>
    <row r="230" spans="33:33" x14ac:dyDescent="0.2">
      <c r="AG230" s="22"/>
    </row>
    <row r="231" spans="33:33" x14ac:dyDescent="0.2">
      <c r="AG231" s="22"/>
    </row>
    <row r="232" spans="33:33" x14ac:dyDescent="0.2">
      <c r="AG232" s="22"/>
    </row>
    <row r="233" spans="33:33" x14ac:dyDescent="0.2">
      <c r="AG233" s="22"/>
    </row>
    <row r="234" spans="33:33" x14ac:dyDescent="0.2">
      <c r="AG234" s="22"/>
    </row>
    <row r="235" spans="33:33" x14ac:dyDescent="0.2">
      <c r="AG235" s="22"/>
    </row>
    <row r="236" spans="33:33" x14ac:dyDescent="0.2">
      <c r="AG236" s="22"/>
    </row>
    <row r="237" spans="33:33" x14ac:dyDescent="0.2">
      <c r="AG237" s="22"/>
    </row>
    <row r="238" spans="33:33" x14ac:dyDescent="0.2">
      <c r="AG238" s="22"/>
    </row>
    <row r="239" spans="33:33" x14ac:dyDescent="0.2">
      <c r="AG239" s="22"/>
    </row>
    <row r="240" spans="33:33" x14ac:dyDescent="0.2">
      <c r="AG240" s="22"/>
    </row>
    <row r="241" spans="33:33" x14ac:dyDescent="0.2">
      <c r="AG241" s="22"/>
    </row>
    <row r="242" spans="33:33" x14ac:dyDescent="0.2">
      <c r="AG242" s="22"/>
    </row>
    <row r="243" spans="33:33" x14ac:dyDescent="0.2">
      <c r="AG243" s="22"/>
    </row>
    <row r="244" spans="33:33" x14ac:dyDescent="0.2">
      <c r="AG244" s="22"/>
    </row>
    <row r="245" spans="33:33" x14ac:dyDescent="0.2">
      <c r="AG245" s="22"/>
    </row>
    <row r="246" spans="33:33" x14ac:dyDescent="0.2">
      <c r="AG246" s="22"/>
    </row>
    <row r="247" spans="33:33" x14ac:dyDescent="0.2">
      <c r="AG247" s="22"/>
    </row>
    <row r="248" spans="33:33" x14ac:dyDescent="0.2">
      <c r="AG248" s="22"/>
    </row>
    <row r="249" spans="33:33" x14ac:dyDescent="0.2">
      <c r="AG249" s="22"/>
    </row>
    <row r="250" spans="33:33" x14ac:dyDescent="0.2">
      <c r="AG250" s="22"/>
    </row>
    <row r="251" spans="33:33" x14ac:dyDescent="0.2">
      <c r="AG251" s="22"/>
    </row>
    <row r="252" spans="33:33" x14ac:dyDescent="0.2">
      <c r="AG252" s="22"/>
    </row>
    <row r="253" spans="33:33" x14ac:dyDescent="0.2">
      <c r="AG253" s="22"/>
    </row>
    <row r="254" spans="33:33" x14ac:dyDescent="0.2">
      <c r="AG254" s="22"/>
    </row>
    <row r="255" spans="33:33" x14ac:dyDescent="0.2">
      <c r="AG255" s="22"/>
    </row>
    <row r="256" spans="33:33" x14ac:dyDescent="0.2">
      <c r="AG256" s="22"/>
    </row>
    <row r="257" spans="33:33" x14ac:dyDescent="0.2">
      <c r="AG257" s="22"/>
    </row>
    <row r="258" spans="33:33" x14ac:dyDescent="0.2">
      <c r="AG258" s="22"/>
    </row>
    <row r="259" spans="33:33" x14ac:dyDescent="0.2">
      <c r="AG259" s="22"/>
    </row>
    <row r="260" spans="33:33" x14ac:dyDescent="0.2">
      <c r="AG260" s="22"/>
    </row>
    <row r="261" spans="33:33" x14ac:dyDescent="0.2">
      <c r="AG261" s="22"/>
    </row>
    <row r="262" spans="33:33" x14ac:dyDescent="0.2">
      <c r="AG262" s="22"/>
    </row>
    <row r="263" spans="33:33" x14ac:dyDescent="0.2">
      <c r="AG263" s="22"/>
    </row>
    <row r="264" spans="33:33" x14ac:dyDescent="0.2">
      <c r="AG264" s="22"/>
    </row>
    <row r="265" spans="33:33" x14ac:dyDescent="0.2">
      <c r="AG265" s="22"/>
    </row>
    <row r="266" spans="33:33" x14ac:dyDescent="0.2">
      <c r="AG266" s="22"/>
    </row>
    <row r="267" spans="33:33" x14ac:dyDescent="0.2">
      <c r="AG267" s="22"/>
    </row>
    <row r="268" spans="33:33" x14ac:dyDescent="0.2">
      <c r="AG268" s="22"/>
    </row>
    <row r="269" spans="33:33" x14ac:dyDescent="0.2">
      <c r="AG269" s="22"/>
    </row>
    <row r="270" spans="33:33" x14ac:dyDescent="0.2">
      <c r="AG270" s="22"/>
    </row>
    <row r="271" spans="33:33" x14ac:dyDescent="0.2">
      <c r="AG271" s="22"/>
    </row>
    <row r="272" spans="33:33" x14ac:dyDescent="0.2">
      <c r="AG272" s="22"/>
    </row>
    <row r="273" spans="33:33" x14ac:dyDescent="0.2">
      <c r="AG273" s="22"/>
    </row>
    <row r="274" spans="33:33" x14ac:dyDescent="0.2">
      <c r="AG274" s="22"/>
    </row>
    <row r="275" spans="33:33" x14ac:dyDescent="0.2">
      <c r="AG275" s="22"/>
    </row>
    <row r="276" spans="33:33" x14ac:dyDescent="0.2">
      <c r="AG276" s="22"/>
    </row>
    <row r="277" spans="33:33" x14ac:dyDescent="0.2">
      <c r="AG277" s="22"/>
    </row>
    <row r="278" spans="33:33" x14ac:dyDescent="0.2">
      <c r="AG278" s="22"/>
    </row>
    <row r="279" spans="33:33" x14ac:dyDescent="0.2">
      <c r="AG279" s="22"/>
    </row>
    <row r="280" spans="33:33" x14ac:dyDescent="0.2">
      <c r="AG280" s="22"/>
    </row>
    <row r="281" spans="33:33" x14ac:dyDescent="0.2">
      <c r="AG281" s="22"/>
    </row>
    <row r="282" spans="33:33" x14ac:dyDescent="0.2">
      <c r="AG282" s="22"/>
    </row>
    <row r="283" spans="33:33" x14ac:dyDescent="0.2">
      <c r="AG283" s="22"/>
    </row>
    <row r="284" spans="33:33" x14ac:dyDescent="0.2">
      <c r="AG284" s="22"/>
    </row>
    <row r="285" spans="33:33" x14ac:dyDescent="0.2">
      <c r="AG285" s="22"/>
    </row>
    <row r="286" spans="33:33" x14ac:dyDescent="0.2">
      <c r="AG286" s="22"/>
    </row>
    <row r="287" spans="33:33" x14ac:dyDescent="0.2">
      <c r="AG287" s="22"/>
    </row>
    <row r="288" spans="33:33" x14ac:dyDescent="0.2">
      <c r="AG288" s="22"/>
    </row>
    <row r="289" spans="33:33" x14ac:dyDescent="0.2">
      <c r="AG289" s="22"/>
    </row>
    <row r="290" spans="33:33" x14ac:dyDescent="0.2">
      <c r="AG290" s="22"/>
    </row>
    <row r="291" spans="33:33" x14ac:dyDescent="0.2">
      <c r="AG291" s="22"/>
    </row>
    <row r="292" spans="33:33" x14ac:dyDescent="0.2">
      <c r="AG292" s="22"/>
    </row>
    <row r="293" spans="33:33" x14ac:dyDescent="0.2">
      <c r="AG293" s="22"/>
    </row>
    <row r="294" spans="33:33" x14ac:dyDescent="0.2">
      <c r="AG294" s="22"/>
    </row>
    <row r="295" spans="33:33" x14ac:dyDescent="0.2">
      <c r="AG295" s="22"/>
    </row>
    <row r="296" spans="33:33" x14ac:dyDescent="0.2">
      <c r="AG296" s="22"/>
    </row>
    <row r="297" spans="33:33" x14ac:dyDescent="0.2">
      <c r="AG297" s="22"/>
    </row>
    <row r="298" spans="33:33" x14ac:dyDescent="0.2">
      <c r="AG298" s="22"/>
    </row>
    <row r="299" spans="33:33" x14ac:dyDescent="0.2">
      <c r="AG299" s="22"/>
    </row>
    <row r="300" spans="33:33" x14ac:dyDescent="0.2">
      <c r="AG300" s="22"/>
    </row>
    <row r="301" spans="33:33" x14ac:dyDescent="0.2">
      <c r="AG301" s="22"/>
    </row>
    <row r="302" spans="33:33" x14ac:dyDescent="0.2">
      <c r="AG302" s="22"/>
    </row>
    <row r="303" spans="33:33" x14ac:dyDescent="0.2">
      <c r="AG303" s="22"/>
    </row>
    <row r="304" spans="33:33" x14ac:dyDescent="0.2">
      <c r="AG304" s="22"/>
    </row>
    <row r="305" spans="33:33" x14ac:dyDescent="0.2">
      <c r="AG305" s="22"/>
    </row>
    <row r="306" spans="33:33" x14ac:dyDescent="0.2">
      <c r="AG306" s="22"/>
    </row>
    <row r="307" spans="33:33" x14ac:dyDescent="0.2">
      <c r="AG307" s="22"/>
    </row>
    <row r="308" spans="33:33" x14ac:dyDescent="0.2">
      <c r="AG308" s="22"/>
    </row>
    <row r="309" spans="33:33" x14ac:dyDescent="0.2">
      <c r="AG309" s="22"/>
    </row>
    <row r="310" spans="33:33" x14ac:dyDescent="0.2">
      <c r="AG310" s="22"/>
    </row>
    <row r="311" spans="33:33" x14ac:dyDescent="0.2">
      <c r="AG311" s="22"/>
    </row>
    <row r="312" spans="33:33" x14ac:dyDescent="0.2">
      <c r="AG312" s="22"/>
    </row>
    <row r="313" spans="33:33" x14ac:dyDescent="0.2">
      <c r="AG313" s="22"/>
    </row>
    <row r="314" spans="33:33" x14ac:dyDescent="0.2">
      <c r="AG314" s="22"/>
    </row>
    <row r="315" spans="33:33" x14ac:dyDescent="0.2">
      <c r="AG315" s="22"/>
    </row>
    <row r="316" spans="33:33" x14ac:dyDescent="0.2">
      <c r="AG316" s="22"/>
    </row>
  </sheetData>
  <dataValidations count="2">
    <dataValidation type="list" allowBlank="1" showInputMessage="1" showErrorMessage="1" sqref="B2:AE2">
      <formula1>#REF!</formula1>
    </dataValidation>
    <dataValidation type="list" allowBlank="1" showInputMessage="1" showErrorMessage="1" sqref="AA2:AF2">
      <formula1>#REF!</formula1>
    </dataValidation>
  </dataValidations>
  <pageMargins left="0.75" right="0.75" top="1" bottom="1" header="0.5" footer="0.5"/>
  <pageSetup scale="58" orientation="portrait" r:id="rId1"/>
  <headerFooter alignWithMargins="0"/>
  <ignoredErrors>
    <ignoredError sqref="AB9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73"/>
  <sheetViews>
    <sheetView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Q55" sqref="Q55"/>
    </sheetView>
  </sheetViews>
  <sheetFormatPr defaultColWidth="11.42578125" defaultRowHeight="12.75" x14ac:dyDescent="0.2"/>
  <cols>
    <col min="1" max="1" width="45" style="21" customWidth="1"/>
    <col min="2" max="14" width="15.5703125" style="22" customWidth="1"/>
    <col min="15" max="17" width="17.140625" style="22" customWidth="1"/>
    <col min="18" max="22" width="15.5703125" style="22" customWidth="1"/>
    <col min="23" max="23" width="15" style="22" customWidth="1"/>
    <col min="24" max="24" width="18.5703125" style="22" bestFit="1" customWidth="1"/>
    <col min="25" max="25" width="18.5703125" style="22" customWidth="1"/>
    <col min="26" max="28" width="20.42578125" style="22" customWidth="1"/>
    <col min="29" max="29" width="18" style="22" customWidth="1"/>
    <col min="30" max="30" width="18.28515625" style="22" customWidth="1"/>
    <col min="31" max="31" width="2.28515625" style="1" customWidth="1"/>
    <col min="32" max="32" width="15.5703125" style="22" customWidth="1"/>
    <col min="33" max="16384" width="11.42578125" style="22"/>
  </cols>
  <sheetData>
    <row r="1" spans="1:62" x14ac:dyDescent="0.2">
      <c r="H1" s="22" t="s">
        <v>53</v>
      </c>
      <c r="AE1" s="22"/>
    </row>
    <row r="2" spans="1:62" s="26" customFormat="1" ht="15" x14ac:dyDescent="0.25">
      <c r="A2" s="97" t="s">
        <v>0</v>
      </c>
      <c r="B2" s="103" t="s">
        <v>51</v>
      </c>
      <c r="C2" s="103" t="s">
        <v>51</v>
      </c>
      <c r="D2" s="103" t="s">
        <v>67</v>
      </c>
      <c r="E2" s="103" t="s">
        <v>66</v>
      </c>
      <c r="F2" s="103" t="s">
        <v>67</v>
      </c>
      <c r="G2" s="103" t="s">
        <v>67</v>
      </c>
      <c r="H2" s="103" t="s">
        <v>67</v>
      </c>
      <c r="I2" s="103" t="s">
        <v>77</v>
      </c>
      <c r="J2" s="103" t="s">
        <v>67</v>
      </c>
      <c r="K2" s="103" t="s">
        <v>66</v>
      </c>
      <c r="L2" s="103" t="s">
        <v>66</v>
      </c>
      <c r="M2" s="103" t="s">
        <v>51</v>
      </c>
      <c r="N2" s="103" t="s">
        <v>77</v>
      </c>
      <c r="O2" s="103" t="s">
        <v>74</v>
      </c>
      <c r="P2" s="103" t="s">
        <v>74</v>
      </c>
      <c r="Q2" s="103" t="s">
        <v>74</v>
      </c>
      <c r="R2" s="103" t="s">
        <v>75</v>
      </c>
      <c r="S2" s="103" t="s">
        <v>67</v>
      </c>
      <c r="T2" s="103" t="s">
        <v>68</v>
      </c>
      <c r="U2" s="103" t="s">
        <v>68</v>
      </c>
      <c r="V2" s="103" t="s">
        <v>68</v>
      </c>
      <c r="W2" s="103" t="s">
        <v>68</v>
      </c>
      <c r="X2" s="103" t="s">
        <v>70</v>
      </c>
      <c r="Y2" s="103" t="s">
        <v>64</v>
      </c>
      <c r="Z2" s="103" t="s">
        <v>64</v>
      </c>
      <c r="AA2" s="103" t="s">
        <v>66</v>
      </c>
      <c r="AB2" s="103" t="s">
        <v>66</v>
      </c>
      <c r="AC2" s="103" t="s">
        <v>83</v>
      </c>
      <c r="AD2" s="103" t="s">
        <v>67</v>
      </c>
      <c r="AE2" s="23"/>
      <c r="AF2" s="135" t="s">
        <v>1</v>
      </c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</row>
    <row r="3" spans="1:62" ht="15.75" x14ac:dyDescent="0.25">
      <c r="A3" s="27"/>
      <c r="B3" s="28"/>
      <c r="C3" s="104"/>
      <c r="D3" s="104"/>
      <c r="E3" s="104"/>
      <c r="F3" s="104"/>
      <c r="G3" s="104"/>
      <c r="H3" s="104"/>
      <c r="I3" s="104"/>
      <c r="J3" s="104"/>
      <c r="K3" s="137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29"/>
      <c r="AF3" s="28"/>
    </row>
    <row r="4" spans="1:62" s="26" customFormat="1" ht="51.75" x14ac:dyDescent="0.25">
      <c r="A4" s="97" t="s">
        <v>2</v>
      </c>
      <c r="B4" s="216" t="s">
        <v>136</v>
      </c>
      <c r="C4" s="216" t="s">
        <v>137</v>
      </c>
      <c r="D4" s="216" t="s">
        <v>153</v>
      </c>
      <c r="E4" s="216" t="s">
        <v>154</v>
      </c>
      <c r="F4" s="216" t="s">
        <v>155</v>
      </c>
      <c r="G4" s="216" t="s">
        <v>156</v>
      </c>
      <c r="H4" s="216" t="s">
        <v>157</v>
      </c>
      <c r="I4" s="216" t="s">
        <v>158</v>
      </c>
      <c r="J4" s="216" t="s">
        <v>159</v>
      </c>
      <c r="K4" s="216" t="s">
        <v>160</v>
      </c>
      <c r="L4" s="216" t="s">
        <v>161</v>
      </c>
      <c r="M4" s="216" t="s">
        <v>162</v>
      </c>
      <c r="N4" s="216" t="s">
        <v>163</v>
      </c>
      <c r="O4" s="216" t="s">
        <v>164</v>
      </c>
      <c r="P4" s="216" t="s">
        <v>165</v>
      </c>
      <c r="Q4" s="216" t="s">
        <v>166</v>
      </c>
      <c r="R4" s="216" t="s">
        <v>131</v>
      </c>
      <c r="S4" s="216" t="s">
        <v>136</v>
      </c>
      <c r="T4" s="216" t="s">
        <v>167</v>
      </c>
      <c r="U4" s="216" t="s">
        <v>168</v>
      </c>
      <c r="V4" s="216" t="s">
        <v>169</v>
      </c>
      <c r="W4" s="216" t="s">
        <v>170</v>
      </c>
      <c r="X4" s="216" t="s">
        <v>171</v>
      </c>
      <c r="Y4" s="216" t="s">
        <v>172</v>
      </c>
      <c r="Z4" s="216" t="s">
        <v>173</v>
      </c>
      <c r="AA4" s="216" t="s">
        <v>174</v>
      </c>
      <c r="AB4" s="216" t="s">
        <v>175</v>
      </c>
      <c r="AC4" s="216" t="s">
        <v>176</v>
      </c>
      <c r="AD4" s="216" t="s">
        <v>177</v>
      </c>
      <c r="AE4" s="30"/>
      <c r="AF4" s="18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</row>
    <row r="5" spans="1:62" ht="12.75" customHeight="1" x14ac:dyDescent="0.2">
      <c r="A5" s="2"/>
      <c r="B5" s="3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7"/>
      <c r="AF5" s="31"/>
    </row>
    <row r="6" spans="1:62" s="26" customFormat="1" ht="15" x14ac:dyDescent="0.25">
      <c r="A6" s="97" t="s">
        <v>3</v>
      </c>
      <c r="B6" s="19" t="s">
        <v>52</v>
      </c>
      <c r="C6" s="19" t="s">
        <v>52</v>
      </c>
      <c r="D6" s="19" t="s">
        <v>150</v>
      </c>
      <c r="E6" s="24" t="s">
        <v>52</v>
      </c>
      <c r="F6" s="24" t="s">
        <v>150</v>
      </c>
      <c r="G6" s="19" t="s">
        <v>150</v>
      </c>
      <c r="H6" s="19" t="s">
        <v>150</v>
      </c>
      <c r="I6" s="19" t="s">
        <v>52</v>
      </c>
      <c r="J6" s="19" t="s">
        <v>150</v>
      </c>
      <c r="K6" s="19" t="s">
        <v>52</v>
      </c>
      <c r="L6" s="19" t="s">
        <v>52</v>
      </c>
      <c r="M6" s="19" t="s">
        <v>52</v>
      </c>
      <c r="N6" s="19" t="s">
        <v>150</v>
      </c>
      <c r="O6" s="19" t="s">
        <v>150</v>
      </c>
      <c r="P6" s="19" t="s">
        <v>150</v>
      </c>
      <c r="Q6" s="19" t="s">
        <v>150</v>
      </c>
      <c r="R6" s="19" t="s">
        <v>150</v>
      </c>
      <c r="S6" s="19" t="s">
        <v>150</v>
      </c>
      <c r="T6" s="19" t="s">
        <v>150</v>
      </c>
      <c r="U6" s="19" t="s">
        <v>150</v>
      </c>
      <c r="V6" s="19" t="s">
        <v>150</v>
      </c>
      <c r="W6" s="19" t="s">
        <v>150</v>
      </c>
      <c r="X6" s="19" t="s">
        <v>52</v>
      </c>
      <c r="Y6" s="19" t="s">
        <v>150</v>
      </c>
      <c r="Z6" s="19" t="s">
        <v>150</v>
      </c>
      <c r="AA6" s="19" t="s">
        <v>52</v>
      </c>
      <c r="AB6" s="19" t="s">
        <v>150</v>
      </c>
      <c r="AC6" s="19" t="s">
        <v>150</v>
      </c>
      <c r="AD6" s="19" t="s">
        <v>150</v>
      </c>
      <c r="AE6" s="32"/>
      <c r="AF6" s="19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</row>
    <row r="7" spans="1:62" x14ac:dyDescent="0.2">
      <c r="A7" s="33" t="s">
        <v>4</v>
      </c>
      <c r="B7" s="34">
        <v>99995000</v>
      </c>
      <c r="C7" s="35">
        <v>149995000</v>
      </c>
      <c r="D7" s="35">
        <v>16700000</v>
      </c>
      <c r="E7" s="35">
        <v>156065000</v>
      </c>
      <c r="F7" s="35">
        <v>11000000</v>
      </c>
      <c r="G7" s="35">
        <v>9290000</v>
      </c>
      <c r="H7" s="35">
        <v>11970000</v>
      </c>
      <c r="I7" s="35">
        <v>918205000</v>
      </c>
      <c r="J7" s="35">
        <v>12490000</v>
      </c>
      <c r="K7" s="35">
        <v>42470000</v>
      </c>
      <c r="L7" s="35">
        <v>29385000</v>
      </c>
      <c r="M7" s="35">
        <v>100000000</v>
      </c>
      <c r="N7" s="35"/>
      <c r="O7" s="35"/>
      <c r="P7" s="35">
        <v>55000000</v>
      </c>
      <c r="Q7" s="35"/>
      <c r="R7" s="35">
        <v>71665000</v>
      </c>
      <c r="S7" s="35"/>
      <c r="T7" s="35"/>
      <c r="U7" s="35">
        <v>78070000</v>
      </c>
      <c r="V7" s="35"/>
      <c r="W7" s="35"/>
      <c r="X7" s="35"/>
      <c r="Y7" s="35"/>
      <c r="Z7" s="35">
        <v>234640881</v>
      </c>
      <c r="AA7" s="35">
        <v>56515000</v>
      </c>
      <c r="AB7" s="35"/>
      <c r="AC7" s="35">
        <v>2920074856.1500001</v>
      </c>
      <c r="AD7" s="35">
        <v>9650000</v>
      </c>
      <c r="AE7" s="36"/>
      <c r="AF7" s="34">
        <f>SUM(B7:AD7)</f>
        <v>4983180737.1499996</v>
      </c>
    </row>
    <row r="8" spans="1:62" x14ac:dyDescent="0.2">
      <c r="A8" s="37" t="s">
        <v>5</v>
      </c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>
        <v>810330000</v>
      </c>
      <c r="O8" s="35">
        <v>10125000</v>
      </c>
      <c r="P8" s="35"/>
      <c r="Q8" s="35">
        <v>62355000</v>
      </c>
      <c r="R8" s="35">
        <v>15395000</v>
      </c>
      <c r="S8" s="35">
        <v>30700000</v>
      </c>
      <c r="T8" s="35">
        <v>10991058</v>
      </c>
      <c r="U8" s="35"/>
      <c r="V8" s="35">
        <v>42500000</v>
      </c>
      <c r="W8" s="35">
        <v>80140000</v>
      </c>
      <c r="X8" s="35">
        <v>98550000</v>
      </c>
      <c r="Y8" s="35">
        <v>40955000</v>
      </c>
      <c r="Z8" s="35">
        <v>30764119</v>
      </c>
      <c r="AA8" s="35">
        <v>32215000</v>
      </c>
      <c r="AB8" s="35">
        <v>68945000</v>
      </c>
      <c r="AC8" s="35"/>
      <c r="AD8" s="35"/>
      <c r="AE8" s="38"/>
      <c r="AF8" s="34">
        <f t="shared" ref="AF8:AF58" si="0">SUM(B8:AD8)</f>
        <v>1333965177</v>
      </c>
    </row>
    <row r="9" spans="1:62" s="41" customFormat="1" x14ac:dyDescent="0.2">
      <c r="A9" s="39" t="s">
        <v>6</v>
      </c>
      <c r="B9" s="111">
        <f t="shared" ref="B9:AD9" si="1">B7+B8</f>
        <v>99995000</v>
      </c>
      <c r="C9" s="111">
        <f t="shared" si="1"/>
        <v>149995000</v>
      </c>
      <c r="D9" s="111">
        <f t="shared" si="1"/>
        <v>16700000</v>
      </c>
      <c r="E9" s="111">
        <f t="shared" si="1"/>
        <v>156065000</v>
      </c>
      <c r="F9" s="111">
        <f t="shared" si="1"/>
        <v>11000000</v>
      </c>
      <c r="G9" s="111">
        <f t="shared" si="1"/>
        <v>9290000</v>
      </c>
      <c r="H9" s="111">
        <f t="shared" si="1"/>
        <v>11970000</v>
      </c>
      <c r="I9" s="111">
        <f t="shared" si="1"/>
        <v>918205000</v>
      </c>
      <c r="J9" s="111">
        <f t="shared" si="1"/>
        <v>12490000</v>
      </c>
      <c r="K9" s="111">
        <f t="shared" si="1"/>
        <v>42470000</v>
      </c>
      <c r="L9" s="111">
        <f t="shared" si="1"/>
        <v>29385000</v>
      </c>
      <c r="M9" s="111">
        <f t="shared" si="1"/>
        <v>100000000</v>
      </c>
      <c r="N9" s="111">
        <f t="shared" si="1"/>
        <v>810330000</v>
      </c>
      <c r="O9" s="111">
        <f t="shared" si="1"/>
        <v>10125000</v>
      </c>
      <c r="P9" s="111">
        <f t="shared" si="1"/>
        <v>55000000</v>
      </c>
      <c r="Q9" s="111">
        <f t="shared" si="1"/>
        <v>62355000</v>
      </c>
      <c r="R9" s="111">
        <f t="shared" si="1"/>
        <v>87060000</v>
      </c>
      <c r="S9" s="111">
        <f t="shared" si="1"/>
        <v>30700000</v>
      </c>
      <c r="T9" s="111">
        <f t="shared" si="1"/>
        <v>10991058</v>
      </c>
      <c r="U9" s="111">
        <f t="shared" si="1"/>
        <v>78070000</v>
      </c>
      <c r="V9" s="111">
        <f t="shared" si="1"/>
        <v>42500000</v>
      </c>
      <c r="W9" s="111">
        <f t="shared" si="1"/>
        <v>80140000</v>
      </c>
      <c r="X9" s="111">
        <f t="shared" si="1"/>
        <v>98550000</v>
      </c>
      <c r="Y9" s="111">
        <f t="shared" si="1"/>
        <v>40955000</v>
      </c>
      <c r="Z9" s="111">
        <f>Z7+Z8</f>
        <v>265405000</v>
      </c>
      <c r="AA9" s="111">
        <f>AA7+AA8</f>
        <v>88730000</v>
      </c>
      <c r="AB9" s="111">
        <f>AB7+AB8</f>
        <v>68945000</v>
      </c>
      <c r="AC9" s="111">
        <f>AC7+AC8</f>
        <v>2920074856.1500001</v>
      </c>
      <c r="AD9" s="111">
        <f t="shared" si="1"/>
        <v>9650000</v>
      </c>
      <c r="AE9" s="112"/>
      <c r="AF9" s="111">
        <f t="shared" si="0"/>
        <v>6317145914.1499996</v>
      </c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</row>
    <row r="10" spans="1:62" ht="12.75" customHeight="1" x14ac:dyDescent="0.2">
      <c r="A10" s="33"/>
      <c r="B10" s="113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5"/>
      <c r="AF10" s="136"/>
    </row>
    <row r="11" spans="1:62" s="43" customFormat="1" ht="15" x14ac:dyDescent="0.25">
      <c r="A11" s="98" t="s">
        <v>7</v>
      </c>
      <c r="B11" s="42" t="s">
        <v>8</v>
      </c>
      <c r="C11" s="42" t="s">
        <v>8</v>
      </c>
      <c r="D11" s="42" t="s">
        <v>85</v>
      </c>
      <c r="E11" s="20" t="s">
        <v>8</v>
      </c>
      <c r="F11" s="20" t="s">
        <v>85</v>
      </c>
      <c r="G11" s="20" t="s">
        <v>85</v>
      </c>
      <c r="H11" s="20" t="s">
        <v>85</v>
      </c>
      <c r="I11" s="20" t="s">
        <v>178</v>
      </c>
      <c r="J11" s="20" t="s">
        <v>85</v>
      </c>
      <c r="K11" s="20" t="s">
        <v>8</v>
      </c>
      <c r="L11" s="20" t="s">
        <v>8</v>
      </c>
      <c r="M11" s="20" t="s">
        <v>8</v>
      </c>
      <c r="N11" s="20" t="s">
        <v>8</v>
      </c>
      <c r="O11" s="20" t="s">
        <v>8</v>
      </c>
      <c r="P11" s="20" t="s">
        <v>85</v>
      </c>
      <c r="Q11" s="20" t="s">
        <v>8</v>
      </c>
      <c r="R11" s="20" t="s">
        <v>8</v>
      </c>
      <c r="S11" s="20" t="s">
        <v>8</v>
      </c>
      <c r="T11" s="20" t="s">
        <v>8</v>
      </c>
      <c r="U11" s="20" t="s">
        <v>85</v>
      </c>
      <c r="V11" s="20" t="s">
        <v>8</v>
      </c>
      <c r="W11" s="20" t="s">
        <v>8</v>
      </c>
      <c r="X11" s="20" t="s">
        <v>84</v>
      </c>
      <c r="Y11" s="20" t="s">
        <v>84</v>
      </c>
      <c r="Z11" s="20" t="s">
        <v>84</v>
      </c>
      <c r="AA11" s="20" t="s">
        <v>8</v>
      </c>
      <c r="AB11" s="20" t="s">
        <v>8</v>
      </c>
      <c r="AC11" s="20" t="s">
        <v>8</v>
      </c>
      <c r="AD11" s="20" t="s">
        <v>85</v>
      </c>
      <c r="AE11" s="5"/>
      <c r="AF11" s="14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</row>
    <row r="12" spans="1:62" s="47" customFormat="1" ht="15" x14ac:dyDescent="0.25">
      <c r="A12" s="99" t="s">
        <v>47</v>
      </c>
      <c r="B12" s="44">
        <v>41353</v>
      </c>
      <c r="C12" s="44">
        <v>41508</v>
      </c>
      <c r="D12" s="44">
        <v>41173</v>
      </c>
      <c r="E12" s="45">
        <v>41184</v>
      </c>
      <c r="F12" s="45">
        <v>41173</v>
      </c>
      <c r="G12" s="45">
        <v>41173</v>
      </c>
      <c r="H12" s="45">
        <v>41173</v>
      </c>
      <c r="I12" s="45">
        <v>41261</v>
      </c>
      <c r="J12" s="45">
        <v>41173</v>
      </c>
      <c r="K12" s="45">
        <v>41317</v>
      </c>
      <c r="L12" s="45">
        <v>41157</v>
      </c>
      <c r="M12" s="45">
        <v>41214</v>
      </c>
      <c r="N12" s="45">
        <v>41240</v>
      </c>
      <c r="O12" s="45">
        <v>41191</v>
      </c>
      <c r="P12" s="45">
        <v>41180</v>
      </c>
      <c r="Q12" s="45">
        <v>41514</v>
      </c>
      <c r="R12" s="45">
        <v>41317</v>
      </c>
      <c r="S12" s="45">
        <v>41319</v>
      </c>
      <c r="T12" s="45">
        <v>41200</v>
      </c>
      <c r="U12" s="45">
        <v>41165</v>
      </c>
      <c r="V12" s="45">
        <v>41422</v>
      </c>
      <c r="W12" s="45">
        <v>41425</v>
      </c>
      <c r="X12" s="45">
        <v>41430</v>
      </c>
      <c r="Y12" s="45">
        <v>41458</v>
      </c>
      <c r="Z12" s="45">
        <v>41458</v>
      </c>
      <c r="AA12" s="45">
        <v>41487</v>
      </c>
      <c r="AB12" s="45">
        <v>41478</v>
      </c>
      <c r="AC12" s="45">
        <v>41487</v>
      </c>
      <c r="AD12" s="45">
        <v>41173</v>
      </c>
      <c r="AE12" s="46"/>
      <c r="AF12" s="143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</row>
    <row r="13" spans="1:62" s="26" customFormat="1" ht="12.75" customHeight="1" thickBot="1" x14ac:dyDescent="0.25">
      <c r="A13" s="48"/>
      <c r="B13" s="49"/>
      <c r="C13" s="49"/>
      <c r="D13" s="49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1"/>
      <c r="AF13" s="144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</row>
    <row r="14" spans="1:62" ht="15" x14ac:dyDescent="0.25">
      <c r="A14" s="95" t="s">
        <v>9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13"/>
      <c r="AF14" s="52"/>
    </row>
    <row r="15" spans="1:62" x14ac:dyDescent="0.2">
      <c r="A15" s="3" t="s">
        <v>10</v>
      </c>
      <c r="B15" s="53">
        <v>67500</v>
      </c>
      <c r="C15" s="53">
        <v>87500</v>
      </c>
      <c r="D15" s="53">
        <v>72360</v>
      </c>
      <c r="E15" s="109">
        <v>23024</v>
      </c>
      <c r="F15" s="109">
        <v>49440</v>
      </c>
      <c r="G15" s="109">
        <v>42160</v>
      </c>
      <c r="H15" s="109">
        <v>51880</v>
      </c>
      <c r="I15" s="109">
        <v>174598</v>
      </c>
      <c r="J15" s="109">
        <v>42160</v>
      </c>
      <c r="K15" s="109">
        <v>45075</v>
      </c>
      <c r="L15" s="109">
        <v>50000</v>
      </c>
      <c r="M15" s="109">
        <v>67500</v>
      </c>
      <c r="N15" s="109">
        <v>628809</v>
      </c>
      <c r="O15" s="109">
        <v>37500</v>
      </c>
      <c r="P15" s="109">
        <v>130000</v>
      </c>
      <c r="Q15" s="109">
        <v>92500</v>
      </c>
      <c r="R15" s="109">
        <v>67512</v>
      </c>
      <c r="S15" s="109">
        <v>86400</v>
      </c>
      <c r="T15" s="109">
        <v>50000</v>
      </c>
      <c r="U15" s="109">
        <v>49695</v>
      </c>
      <c r="V15" s="109">
        <v>83338</v>
      </c>
      <c r="W15" s="109">
        <v>105000</v>
      </c>
      <c r="X15" s="109">
        <v>75619</v>
      </c>
      <c r="Y15" s="109">
        <v>16752</v>
      </c>
      <c r="Z15" s="109">
        <v>108511</v>
      </c>
      <c r="AA15" s="109">
        <v>33498</v>
      </c>
      <c r="AB15" s="109">
        <v>72126</v>
      </c>
      <c r="AC15" s="109">
        <v>2284361</v>
      </c>
      <c r="AD15" s="109">
        <v>43600</v>
      </c>
      <c r="AE15" s="54"/>
      <c r="AF15" s="53">
        <f t="shared" si="0"/>
        <v>4738418</v>
      </c>
    </row>
    <row r="16" spans="1:62" x14ac:dyDescent="0.2">
      <c r="A16" s="3" t="s">
        <v>31</v>
      </c>
      <c r="B16" s="53">
        <v>20281</v>
      </c>
      <c r="C16" s="53">
        <v>23654</v>
      </c>
      <c r="D16" s="53"/>
      <c r="E16" s="109"/>
      <c r="F16" s="109"/>
      <c r="G16" s="109"/>
      <c r="H16" s="53"/>
      <c r="J16" s="109"/>
      <c r="K16" s="109"/>
      <c r="L16" s="109"/>
      <c r="M16" s="109">
        <v>20281</v>
      </c>
      <c r="N16" s="109"/>
      <c r="O16" s="109"/>
      <c r="P16" s="109"/>
      <c r="Q16" s="109"/>
      <c r="R16" s="109"/>
      <c r="S16" s="109"/>
      <c r="T16" s="109">
        <v>15694</v>
      </c>
      <c r="U16" s="109">
        <v>9469</v>
      </c>
      <c r="V16" s="109">
        <v>17888</v>
      </c>
      <c r="W16" s="109">
        <v>16229</v>
      </c>
      <c r="X16" s="109">
        <v>14629</v>
      </c>
      <c r="Y16" s="109"/>
      <c r="Z16" s="109"/>
      <c r="AA16" s="109"/>
      <c r="AB16" s="109"/>
      <c r="AC16" s="109"/>
      <c r="AD16" s="109"/>
      <c r="AE16" s="54"/>
      <c r="AF16" s="53">
        <f t="shared" si="0"/>
        <v>138125</v>
      </c>
    </row>
    <row r="17" spans="1:32" x14ac:dyDescent="0.2">
      <c r="A17" s="3" t="s">
        <v>11</v>
      </c>
      <c r="B17" s="53">
        <v>36498</v>
      </c>
      <c r="C17" s="53">
        <v>53998</v>
      </c>
      <c r="D17" s="53">
        <v>20000</v>
      </c>
      <c r="E17" s="109">
        <v>65439</v>
      </c>
      <c r="F17" s="109">
        <v>20000</v>
      </c>
      <c r="G17" s="109">
        <v>20000</v>
      </c>
      <c r="H17" s="109">
        <v>20000</v>
      </c>
      <c r="I17" s="109">
        <v>70000</v>
      </c>
      <c r="J17" s="109">
        <v>20000</v>
      </c>
      <c r="K17" s="109">
        <v>38802</v>
      </c>
      <c r="L17" s="109">
        <v>41961</v>
      </c>
      <c r="M17" s="109">
        <v>36500</v>
      </c>
      <c r="N17" s="109">
        <v>122437</v>
      </c>
      <c r="O17" s="109">
        <v>46753</v>
      </c>
      <c r="P17" s="109">
        <v>46715</v>
      </c>
      <c r="Q17" s="109">
        <v>50000</v>
      </c>
      <c r="R17" s="109">
        <v>54913</v>
      </c>
      <c r="S17" s="109">
        <v>71400</v>
      </c>
      <c r="T17" s="109">
        <v>35000</v>
      </c>
      <c r="U17" s="109">
        <v>78070</v>
      </c>
      <c r="V17" s="109">
        <v>85000</v>
      </c>
      <c r="W17" s="109">
        <v>80140</v>
      </c>
      <c r="X17" s="109">
        <v>61594</v>
      </c>
      <c r="Y17" s="109">
        <v>20603</v>
      </c>
      <c r="Z17" s="109">
        <v>133578</v>
      </c>
      <c r="AA17" s="109">
        <v>44591</v>
      </c>
      <c r="AB17" s="109">
        <v>53929</v>
      </c>
      <c r="AC17" s="109">
        <v>502008</v>
      </c>
      <c r="AD17" s="109">
        <v>20000</v>
      </c>
      <c r="AE17" s="54"/>
      <c r="AF17" s="53">
        <f t="shared" si="0"/>
        <v>1949929</v>
      </c>
    </row>
    <row r="18" spans="1:32" x14ac:dyDescent="0.2">
      <c r="A18" s="3" t="s">
        <v>72</v>
      </c>
      <c r="B18" s="53"/>
      <c r="C18" s="53"/>
      <c r="D18" s="53"/>
      <c r="E18" s="53"/>
      <c r="F18" s="53"/>
      <c r="G18" s="109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109"/>
      <c r="V18" s="109"/>
      <c r="W18" s="109"/>
      <c r="X18" s="109"/>
      <c r="Y18" s="109"/>
      <c r="Z18" s="109"/>
      <c r="AA18" s="109"/>
      <c r="AB18" s="109"/>
      <c r="AC18" s="109">
        <v>407359</v>
      </c>
      <c r="AD18" s="109"/>
      <c r="AE18" s="54"/>
      <c r="AF18" s="53">
        <f t="shared" si="0"/>
        <v>407359</v>
      </c>
    </row>
    <row r="19" spans="1:32" x14ac:dyDescent="0.2">
      <c r="A19" s="3" t="s">
        <v>12</v>
      </c>
      <c r="B19" s="53">
        <v>1017</v>
      </c>
      <c r="C19" s="53">
        <v>1028</v>
      </c>
      <c r="D19" s="53"/>
      <c r="E19" s="109">
        <v>1231</v>
      </c>
      <c r="F19" s="109"/>
      <c r="G19" s="109"/>
      <c r="H19" s="109"/>
      <c r="I19" s="109">
        <v>1688</v>
      </c>
      <c r="J19" s="109"/>
      <c r="K19" s="109">
        <v>1199</v>
      </c>
      <c r="L19" s="109">
        <v>1194</v>
      </c>
      <c r="M19" s="109">
        <v>939</v>
      </c>
      <c r="N19" s="109">
        <v>9332</v>
      </c>
      <c r="O19" s="109">
        <v>1152</v>
      </c>
      <c r="P19" s="109"/>
      <c r="Q19" s="109">
        <v>2022</v>
      </c>
      <c r="R19" s="109">
        <v>3760</v>
      </c>
      <c r="S19" s="109">
        <v>1500</v>
      </c>
      <c r="T19" s="109"/>
      <c r="U19" s="109">
        <v>2359</v>
      </c>
      <c r="V19" s="109">
        <v>4353</v>
      </c>
      <c r="W19" s="109">
        <v>4170</v>
      </c>
      <c r="X19" s="109">
        <f>1809+760</f>
        <v>2569</v>
      </c>
      <c r="Y19" s="109">
        <v>525</v>
      </c>
      <c r="Z19" s="109">
        <v>3735</v>
      </c>
      <c r="AA19" s="109">
        <v>1067</v>
      </c>
      <c r="AB19" s="109">
        <v>1706</v>
      </c>
      <c r="AC19" s="109"/>
      <c r="AD19" s="109"/>
      <c r="AE19" s="54"/>
      <c r="AF19" s="53">
        <f t="shared" si="0"/>
        <v>46546</v>
      </c>
    </row>
    <row r="20" spans="1:32" x14ac:dyDescent="0.2">
      <c r="A20" s="3" t="s">
        <v>13</v>
      </c>
      <c r="B20" s="53"/>
      <c r="C20" s="53"/>
      <c r="D20" s="53"/>
      <c r="E20" s="109">
        <v>83</v>
      </c>
      <c r="F20" s="109"/>
      <c r="G20" s="109"/>
      <c r="H20" s="109"/>
      <c r="I20" s="109">
        <v>400</v>
      </c>
      <c r="J20" s="109"/>
      <c r="K20" s="109">
        <v>250</v>
      </c>
      <c r="L20" s="109">
        <v>104</v>
      </c>
      <c r="M20" s="109"/>
      <c r="N20" s="109">
        <v>20100</v>
      </c>
      <c r="O20" s="109">
        <v>5500</v>
      </c>
      <c r="P20" s="109"/>
      <c r="Q20" s="109">
        <v>2000</v>
      </c>
      <c r="R20" s="109">
        <v>500</v>
      </c>
      <c r="S20" s="109"/>
      <c r="T20" s="109"/>
      <c r="U20" s="109"/>
      <c r="V20" s="109"/>
      <c r="W20" s="109"/>
      <c r="X20" s="109">
        <v>1700</v>
      </c>
      <c r="Y20" s="109">
        <v>2375</v>
      </c>
      <c r="Z20" s="109">
        <v>2375</v>
      </c>
      <c r="AA20" s="109">
        <v>550</v>
      </c>
      <c r="AB20" s="109">
        <v>346</v>
      </c>
      <c r="AC20" s="109">
        <v>7570</v>
      </c>
      <c r="AD20" s="109"/>
      <c r="AE20" s="54"/>
      <c r="AF20" s="53">
        <f t="shared" si="0"/>
        <v>43853</v>
      </c>
    </row>
    <row r="21" spans="1:32" x14ac:dyDescent="0.2">
      <c r="A21" s="3" t="s">
        <v>14</v>
      </c>
      <c r="B21" s="53"/>
      <c r="C21" s="53"/>
      <c r="D21" s="53"/>
      <c r="E21" s="109"/>
      <c r="F21" s="109"/>
      <c r="G21" s="109"/>
      <c r="H21" s="109"/>
      <c r="I21" s="109">
        <v>106864</v>
      </c>
      <c r="J21" s="109"/>
      <c r="K21" s="109"/>
      <c r="L21" s="109"/>
      <c r="M21" s="109"/>
      <c r="N21" s="109">
        <v>192066</v>
      </c>
      <c r="O21" s="109"/>
      <c r="P21" s="109"/>
      <c r="Q21" s="109"/>
      <c r="R21" s="109"/>
      <c r="S21" s="109">
        <v>45000</v>
      </c>
      <c r="T21" s="109"/>
      <c r="U21" s="109">
        <f>37500+12500</f>
        <v>50000</v>
      </c>
      <c r="V21" s="109">
        <v>50000</v>
      </c>
      <c r="W21" s="109">
        <v>50000</v>
      </c>
      <c r="X21" s="109"/>
      <c r="Y21" s="109">
        <v>4012</v>
      </c>
      <c r="Z21" s="109">
        <v>25988</v>
      </c>
      <c r="AA21" s="109"/>
      <c r="AB21" s="109"/>
      <c r="AC21" s="109">
        <v>603214</v>
      </c>
      <c r="AD21" s="109"/>
      <c r="AE21" s="54"/>
      <c r="AF21" s="53">
        <f t="shared" si="0"/>
        <v>1127144</v>
      </c>
    </row>
    <row r="22" spans="1:32" x14ac:dyDescent="0.2">
      <c r="A22" s="3" t="s">
        <v>15</v>
      </c>
      <c r="B22" s="53"/>
      <c r="C22" s="53"/>
      <c r="D22" s="53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54"/>
      <c r="AF22" s="53">
        <f t="shared" si="0"/>
        <v>0</v>
      </c>
    </row>
    <row r="23" spans="1:32" x14ac:dyDescent="0.2">
      <c r="A23" s="3" t="s">
        <v>16</v>
      </c>
      <c r="B23" s="53">
        <v>25000</v>
      </c>
      <c r="C23" s="53">
        <v>30000</v>
      </c>
      <c r="D23" s="53"/>
      <c r="E23" s="109"/>
      <c r="F23" s="109"/>
      <c r="G23" s="109"/>
      <c r="H23" s="109"/>
      <c r="I23" s="109"/>
      <c r="J23" s="109"/>
      <c r="K23" s="109"/>
      <c r="L23" s="109"/>
      <c r="M23" s="109">
        <v>25000</v>
      </c>
      <c r="N23" s="109"/>
      <c r="O23" s="109"/>
      <c r="P23" s="109"/>
      <c r="Q23" s="109"/>
      <c r="R23" s="109"/>
      <c r="S23" s="109"/>
      <c r="T23" s="109">
        <v>2000</v>
      </c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54"/>
      <c r="AF23" s="53">
        <f t="shared" si="0"/>
        <v>82000</v>
      </c>
    </row>
    <row r="24" spans="1:32" x14ac:dyDescent="0.2">
      <c r="A24" s="3" t="s">
        <v>26</v>
      </c>
      <c r="B24" s="53"/>
      <c r="C24" s="53"/>
      <c r="D24" s="53">
        <v>6400</v>
      </c>
      <c r="E24" s="109"/>
      <c r="F24" s="109">
        <v>6400</v>
      </c>
      <c r="G24" s="109">
        <v>6400</v>
      </c>
      <c r="H24" s="109"/>
      <c r="I24" s="109"/>
      <c r="J24" s="109">
        <v>6400</v>
      </c>
      <c r="K24" s="109"/>
      <c r="L24" s="109"/>
      <c r="M24" s="109"/>
      <c r="N24" s="109"/>
      <c r="O24" s="109"/>
      <c r="P24" s="109">
        <v>2000</v>
      </c>
      <c r="Q24" s="109"/>
      <c r="R24" s="109"/>
      <c r="S24" s="109">
        <v>2500</v>
      </c>
      <c r="T24" s="109"/>
      <c r="U24" s="109">
        <v>5000</v>
      </c>
      <c r="V24" s="109">
        <v>5000</v>
      </c>
      <c r="W24" s="109">
        <v>3000</v>
      </c>
      <c r="X24" s="109"/>
      <c r="Y24" s="109"/>
      <c r="Z24" s="109"/>
      <c r="AA24" s="109"/>
      <c r="AB24" s="109"/>
      <c r="AC24" s="109">
        <v>20000</v>
      </c>
      <c r="AD24" s="109">
        <v>6400</v>
      </c>
      <c r="AE24" s="54"/>
      <c r="AF24" s="53">
        <f t="shared" si="0"/>
        <v>69500</v>
      </c>
    </row>
    <row r="25" spans="1:32" x14ac:dyDescent="0.2">
      <c r="A25" s="3" t="s">
        <v>27</v>
      </c>
      <c r="B25" s="53"/>
      <c r="C25" s="53"/>
      <c r="D25" s="53">
        <v>3000</v>
      </c>
      <c r="E25" s="109"/>
      <c r="F25" s="109">
        <v>3000</v>
      </c>
      <c r="G25" s="109">
        <v>3000</v>
      </c>
      <c r="H25" s="109">
        <v>6400</v>
      </c>
      <c r="I25" s="109"/>
      <c r="J25" s="109">
        <v>3000</v>
      </c>
      <c r="K25" s="109"/>
      <c r="L25" s="109"/>
      <c r="M25" s="109"/>
      <c r="N25" s="109"/>
      <c r="O25" s="109"/>
      <c r="P25" s="109">
        <v>7500</v>
      </c>
      <c r="Q25" s="109"/>
      <c r="R25" s="109"/>
      <c r="S25" s="109">
        <v>2500</v>
      </c>
      <c r="T25" s="109"/>
      <c r="U25" s="109">
        <v>6225</v>
      </c>
      <c r="V25" s="109">
        <v>12000</v>
      </c>
      <c r="W25" s="109">
        <v>10200</v>
      </c>
      <c r="X25" s="109"/>
      <c r="Y25" s="109"/>
      <c r="Z25" s="109"/>
      <c r="AA25" s="109"/>
      <c r="AB25" s="109"/>
      <c r="AC25" s="109">
        <v>20000</v>
      </c>
      <c r="AD25" s="109">
        <v>3000</v>
      </c>
      <c r="AE25" s="54"/>
      <c r="AF25" s="53">
        <f t="shared" si="0"/>
        <v>79825</v>
      </c>
    </row>
    <row r="26" spans="1:32" x14ac:dyDescent="0.2">
      <c r="A26" s="3" t="s">
        <v>17</v>
      </c>
      <c r="B26" s="53"/>
      <c r="C26" s="53"/>
      <c r="D26" s="53"/>
      <c r="E26" s="109"/>
      <c r="F26" s="109"/>
      <c r="G26" s="109"/>
      <c r="H26" s="109">
        <v>3000</v>
      </c>
      <c r="I26" s="109"/>
      <c r="J26" s="109"/>
      <c r="K26" s="109"/>
      <c r="L26" s="109"/>
      <c r="M26" s="109"/>
      <c r="N26" s="109"/>
      <c r="O26" s="109">
        <v>1400</v>
      </c>
      <c r="P26" s="109"/>
      <c r="Q26" s="109"/>
      <c r="R26" s="109">
        <v>1500</v>
      </c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54"/>
      <c r="AF26" s="53">
        <f t="shared" si="0"/>
        <v>5900</v>
      </c>
    </row>
    <row r="27" spans="1:32" x14ac:dyDescent="0.2">
      <c r="A27" s="3" t="s">
        <v>18</v>
      </c>
      <c r="B27" s="53"/>
      <c r="C27" s="53"/>
      <c r="D27" s="53"/>
      <c r="E27" s="109"/>
      <c r="F27" s="109"/>
      <c r="G27" s="109"/>
      <c r="H27" s="109"/>
      <c r="I27" s="109"/>
      <c r="J27" s="109"/>
      <c r="K27" s="109"/>
      <c r="L27" s="109"/>
      <c r="M27" s="109"/>
      <c r="N27" s="109">
        <v>3500</v>
      </c>
      <c r="O27" s="109">
        <v>4000</v>
      </c>
      <c r="P27" s="109"/>
      <c r="Q27" s="109"/>
      <c r="R27" s="109">
        <v>3500</v>
      </c>
      <c r="S27" s="109"/>
      <c r="T27" s="109"/>
      <c r="U27" s="109">
        <v>7500</v>
      </c>
      <c r="V27" s="109"/>
      <c r="W27" s="109"/>
      <c r="X27" s="109"/>
      <c r="Y27" s="109"/>
      <c r="Z27" s="109"/>
      <c r="AA27" s="109"/>
      <c r="AB27" s="109"/>
      <c r="AC27" s="109"/>
      <c r="AD27" s="109"/>
      <c r="AE27" s="54"/>
      <c r="AF27" s="53">
        <f t="shared" si="0"/>
        <v>18500</v>
      </c>
    </row>
    <row r="28" spans="1:32" x14ac:dyDescent="0.2">
      <c r="A28" s="3" t="s">
        <v>19</v>
      </c>
      <c r="B28" s="53">
        <v>9500</v>
      </c>
      <c r="C28" s="53">
        <v>9500</v>
      </c>
      <c r="D28" s="53"/>
      <c r="E28" s="109">
        <v>9500</v>
      </c>
      <c r="F28" s="109"/>
      <c r="G28" s="109"/>
      <c r="H28" s="109"/>
      <c r="I28" s="109">
        <v>19000</v>
      </c>
      <c r="J28" s="109"/>
      <c r="K28" s="109">
        <v>9500</v>
      </c>
      <c r="L28" s="109">
        <v>9500</v>
      </c>
      <c r="M28" s="109">
        <v>9500</v>
      </c>
      <c r="N28" s="109">
        <v>19000</v>
      </c>
      <c r="O28" s="109">
        <v>10125</v>
      </c>
      <c r="P28" s="109">
        <v>9500</v>
      </c>
      <c r="Q28" s="109">
        <v>9500</v>
      </c>
      <c r="R28" s="109">
        <v>9500</v>
      </c>
      <c r="S28" s="109">
        <v>9500</v>
      </c>
      <c r="T28" s="109"/>
      <c r="U28" s="109"/>
      <c r="V28" s="109">
        <v>9500</v>
      </c>
      <c r="W28" s="109"/>
      <c r="X28" s="109">
        <v>9500</v>
      </c>
      <c r="Y28" s="109">
        <v>9500</v>
      </c>
      <c r="Z28" s="109">
        <v>9500</v>
      </c>
      <c r="AA28" s="109">
        <v>19000</v>
      </c>
      <c r="AB28" s="109">
        <v>9500</v>
      </c>
      <c r="AC28" s="109"/>
      <c r="AD28" s="109"/>
      <c r="AE28" s="54"/>
      <c r="AF28" s="53">
        <f t="shared" si="0"/>
        <v>209625</v>
      </c>
    </row>
    <row r="29" spans="1:32" x14ac:dyDescent="0.2">
      <c r="A29" s="3" t="s">
        <v>28</v>
      </c>
      <c r="B29" s="53"/>
      <c r="C29" s="53"/>
      <c r="D29" s="53">
        <v>4175</v>
      </c>
      <c r="E29" s="109"/>
      <c r="F29" s="109">
        <v>2750</v>
      </c>
      <c r="G29" s="109">
        <v>2323</v>
      </c>
      <c r="H29" s="109">
        <v>2993</v>
      </c>
      <c r="I29" s="109"/>
      <c r="J29" s="109">
        <v>3123</v>
      </c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>
        <v>20018</v>
      </c>
      <c r="V29" s="109"/>
      <c r="W29" s="109"/>
      <c r="X29" s="109">
        <v>500</v>
      </c>
      <c r="Y29" s="109"/>
      <c r="Z29" s="109"/>
      <c r="AA29" s="109"/>
      <c r="AB29" s="109"/>
      <c r="AC29" s="109"/>
      <c r="AD29" s="109">
        <v>2413</v>
      </c>
      <c r="AE29" s="54"/>
      <c r="AF29" s="53">
        <f t="shared" si="0"/>
        <v>38295</v>
      </c>
    </row>
    <row r="30" spans="1:32" x14ac:dyDescent="0.2">
      <c r="A30" s="3" t="s">
        <v>29</v>
      </c>
      <c r="B30" s="53"/>
      <c r="C30" s="53"/>
      <c r="D30" s="53">
        <v>25050</v>
      </c>
      <c r="E30" s="109"/>
      <c r="F30" s="109">
        <v>16500</v>
      </c>
      <c r="G30" s="109">
        <f>9290+4645</f>
        <v>13935</v>
      </c>
      <c r="H30" s="109">
        <f>11970+5985</f>
        <v>17955</v>
      </c>
      <c r="I30" s="109"/>
      <c r="J30" s="109">
        <f>12490+6245</f>
        <v>18735</v>
      </c>
      <c r="K30" s="109"/>
      <c r="L30" s="109"/>
      <c r="M30" s="109"/>
      <c r="N30" s="109"/>
      <c r="O30" s="109"/>
      <c r="P30" s="109"/>
      <c r="Q30" s="109"/>
      <c r="R30" s="109"/>
      <c r="S30" s="109"/>
      <c r="T30" s="109">
        <f>54955+5000</f>
        <v>59955</v>
      </c>
      <c r="U30" s="109"/>
      <c r="V30" s="109"/>
      <c r="W30" s="109"/>
      <c r="X30" s="109"/>
      <c r="Y30" s="109"/>
      <c r="Z30" s="109"/>
      <c r="AA30" s="109"/>
      <c r="AB30" s="109"/>
      <c r="AC30" s="109"/>
      <c r="AD30" s="109">
        <f>9650+4825</f>
        <v>14475</v>
      </c>
      <c r="AE30" s="54"/>
      <c r="AF30" s="53">
        <f t="shared" si="0"/>
        <v>166605</v>
      </c>
    </row>
    <row r="31" spans="1:32" x14ac:dyDescent="0.2">
      <c r="A31" s="3" t="s">
        <v>48</v>
      </c>
      <c r="B31" s="53">
        <v>3000</v>
      </c>
      <c r="C31" s="53"/>
      <c r="D31" s="53"/>
      <c r="E31" s="109"/>
      <c r="F31" s="109"/>
      <c r="G31" s="109"/>
      <c r="H31" s="109"/>
      <c r="I31" s="109"/>
      <c r="J31" s="109"/>
      <c r="K31" s="109"/>
      <c r="L31" s="109"/>
      <c r="M31" s="109">
        <v>3000</v>
      </c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54"/>
      <c r="AF31" s="53">
        <f t="shared" si="0"/>
        <v>6000</v>
      </c>
    </row>
    <row r="32" spans="1:32" x14ac:dyDescent="0.2">
      <c r="A32" s="3" t="s">
        <v>30</v>
      </c>
      <c r="B32" s="53">
        <v>20000</v>
      </c>
      <c r="C32" s="53"/>
      <c r="D32" s="53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54"/>
      <c r="AF32" s="53">
        <f t="shared" si="0"/>
        <v>20000</v>
      </c>
    </row>
    <row r="33" spans="1:62" x14ac:dyDescent="0.2">
      <c r="A33" s="3" t="s">
        <v>50</v>
      </c>
      <c r="B33" s="53"/>
      <c r="C33" s="53"/>
      <c r="D33" s="53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54"/>
      <c r="AF33" s="53">
        <f t="shared" si="0"/>
        <v>0</v>
      </c>
    </row>
    <row r="34" spans="1:62" x14ac:dyDescent="0.2">
      <c r="A34" s="3" t="s">
        <v>49</v>
      </c>
      <c r="B34" s="53"/>
      <c r="C34" s="53"/>
      <c r="D34" s="53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54"/>
      <c r="AF34" s="53">
        <f t="shared" si="0"/>
        <v>0</v>
      </c>
    </row>
    <row r="35" spans="1:62" ht="13.5" thickBot="1" x14ac:dyDescent="0.25">
      <c r="A35" s="55" t="s">
        <v>20</v>
      </c>
      <c r="B35" s="56"/>
      <c r="C35" s="56"/>
      <c r="D35" s="56">
        <v>20472</v>
      </c>
      <c r="E35" s="57">
        <v>2563</v>
      </c>
      <c r="F35" s="57">
        <v>15888</v>
      </c>
      <c r="G35" s="109">
        <v>14290</v>
      </c>
      <c r="H35" s="57">
        <v>16376</v>
      </c>
      <c r="I35" s="57">
        <v>1250</v>
      </c>
      <c r="J35" s="57">
        <v>16992</v>
      </c>
      <c r="K35" s="57">
        <v>3179</v>
      </c>
      <c r="L35" s="57">
        <v>1577</v>
      </c>
      <c r="M35" s="57"/>
      <c r="N35" s="57">
        <v>59127</v>
      </c>
      <c r="O35" s="57">
        <v>1150</v>
      </c>
      <c r="P35" s="57">
        <v>137000</v>
      </c>
      <c r="Q35" s="57">
        <f>744+200185</f>
        <v>200929</v>
      </c>
      <c r="R35" s="57">
        <v>300</v>
      </c>
      <c r="S35" s="57"/>
      <c r="T35" s="57"/>
      <c r="U35" s="57"/>
      <c r="V35" s="57">
        <v>42500</v>
      </c>
      <c r="W35" s="57">
        <v>85140</v>
      </c>
      <c r="X35" s="57"/>
      <c r="Y35" s="57">
        <f>469+142+3576</f>
        <v>4187</v>
      </c>
      <c r="Z35" s="57">
        <f>26076+949+569</f>
        <v>27594</v>
      </c>
      <c r="AA35" s="57">
        <v>10953</v>
      </c>
      <c r="AB35" s="57">
        <f>3734+10425</f>
        <v>14159</v>
      </c>
      <c r="AC35" s="57">
        <f>255300+50000</f>
        <v>305300</v>
      </c>
      <c r="AD35" s="57">
        <v>14650</v>
      </c>
      <c r="AE35" s="58"/>
      <c r="AF35" s="56">
        <f t="shared" si="0"/>
        <v>995576</v>
      </c>
    </row>
    <row r="36" spans="1:62" ht="15" x14ac:dyDescent="0.25">
      <c r="A36" s="95" t="s">
        <v>54</v>
      </c>
      <c r="B36" s="138" t="s">
        <v>53</v>
      </c>
      <c r="C36" s="138"/>
      <c r="D36" s="106" t="s">
        <v>53</v>
      </c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60"/>
      <c r="AF36" s="105"/>
    </row>
    <row r="37" spans="1:62" x14ac:dyDescent="0.2">
      <c r="A37" s="3" t="s">
        <v>55</v>
      </c>
      <c r="B37" s="53">
        <v>36000</v>
      </c>
      <c r="C37" s="53">
        <v>49500</v>
      </c>
      <c r="D37" s="53"/>
      <c r="E37" s="53">
        <v>31080</v>
      </c>
      <c r="F37" s="53"/>
      <c r="G37" s="53"/>
      <c r="H37" s="53"/>
      <c r="I37" s="53">
        <v>95000</v>
      </c>
      <c r="J37" s="53"/>
      <c r="K37" s="53">
        <v>17000</v>
      </c>
      <c r="L37" s="53">
        <v>5920</v>
      </c>
      <c r="M37" s="53">
        <v>41750</v>
      </c>
      <c r="N37" s="53">
        <v>190000</v>
      </c>
      <c r="O37" s="53">
        <v>22500</v>
      </c>
      <c r="P37" s="53"/>
      <c r="Q37" s="53">
        <v>47500</v>
      </c>
      <c r="R37" s="53">
        <v>55000</v>
      </c>
      <c r="S37" s="53">
        <v>26000</v>
      </c>
      <c r="T37" s="53"/>
      <c r="U37" s="53">
        <v>46800</v>
      </c>
      <c r="V37" s="53">
        <v>34000</v>
      </c>
      <c r="W37" s="53">
        <v>40000</v>
      </c>
      <c r="X37" s="53">
        <v>29000</v>
      </c>
      <c r="Y37" s="53">
        <v>19393</v>
      </c>
      <c r="Z37" s="53">
        <v>125607</v>
      </c>
      <c r="AA37" s="53">
        <v>29000</v>
      </c>
      <c r="AB37" s="53">
        <v>24000</v>
      </c>
      <c r="AC37" s="53">
        <v>200000</v>
      </c>
      <c r="AD37" s="53"/>
      <c r="AE37" s="61"/>
      <c r="AF37" s="53">
        <f t="shared" si="0"/>
        <v>1165050</v>
      </c>
    </row>
    <row r="38" spans="1:62" x14ac:dyDescent="0.2">
      <c r="A38" s="3" t="s">
        <v>56</v>
      </c>
      <c r="B38" s="53"/>
      <c r="C38" s="53"/>
      <c r="D38" s="53"/>
      <c r="E38" s="53">
        <v>38500</v>
      </c>
      <c r="F38" s="53"/>
      <c r="G38" s="53"/>
      <c r="H38" s="53"/>
      <c r="I38" s="53">
        <v>96400</v>
      </c>
      <c r="J38" s="53"/>
      <c r="K38" s="53">
        <v>15400</v>
      </c>
      <c r="L38" s="53">
        <v>12600</v>
      </c>
      <c r="M38" s="53"/>
      <c r="N38" s="53">
        <v>125755</v>
      </c>
      <c r="O38" s="53"/>
      <c r="P38" s="53"/>
      <c r="Q38" s="53"/>
      <c r="R38" s="53"/>
      <c r="S38" s="53"/>
      <c r="T38" s="53"/>
      <c r="U38" s="53">
        <v>18909</v>
      </c>
      <c r="V38" s="53">
        <v>22000</v>
      </c>
      <c r="W38" s="53">
        <v>5000</v>
      </c>
      <c r="X38" s="53">
        <v>24500</v>
      </c>
      <c r="Y38" s="53">
        <v>8004</v>
      </c>
      <c r="Z38" s="53">
        <v>51846</v>
      </c>
      <c r="AA38" s="53">
        <v>28000</v>
      </c>
      <c r="AB38" s="53">
        <v>29800</v>
      </c>
      <c r="AC38" s="53"/>
      <c r="AD38" s="53"/>
      <c r="AE38" s="61"/>
      <c r="AF38" s="53">
        <f t="shared" si="0"/>
        <v>476714</v>
      </c>
    </row>
    <row r="39" spans="1:62" ht="13.5" thickBot="1" x14ac:dyDescent="0.25">
      <c r="A39" s="4" t="s">
        <v>57</v>
      </c>
      <c r="B39" s="56">
        <v>5500</v>
      </c>
      <c r="C39" s="56"/>
      <c r="D39" s="56"/>
      <c r="E39" s="56">
        <v>45360</v>
      </c>
      <c r="F39" s="56"/>
      <c r="G39" s="56"/>
      <c r="H39" s="56"/>
      <c r="I39" s="56">
        <v>60000</v>
      </c>
      <c r="J39" s="56"/>
      <c r="K39" s="56">
        <v>19000</v>
      </c>
      <c r="L39" s="56">
        <v>8640</v>
      </c>
      <c r="M39" s="56">
        <v>5000</v>
      </c>
      <c r="N39" s="56">
        <v>130000</v>
      </c>
      <c r="O39" s="56">
        <v>16000</v>
      </c>
      <c r="P39" s="56"/>
      <c r="Q39" s="56">
        <v>38000</v>
      </c>
      <c r="R39" s="56">
        <v>45000</v>
      </c>
      <c r="S39" s="56"/>
      <c r="T39" s="56"/>
      <c r="U39" s="56"/>
      <c r="V39" s="56"/>
      <c r="W39" s="56"/>
      <c r="X39" s="56"/>
      <c r="Y39" s="56"/>
      <c r="Z39" s="56"/>
      <c r="AA39" s="56">
        <v>35000</v>
      </c>
      <c r="AB39" s="56">
        <v>23000</v>
      </c>
      <c r="AC39" s="56">
        <v>350000</v>
      </c>
      <c r="AD39" s="56"/>
      <c r="AE39" s="6"/>
      <c r="AF39" s="56">
        <f t="shared" si="0"/>
        <v>780500</v>
      </c>
    </row>
    <row r="40" spans="1:62" s="43" customFormat="1" ht="12.75" customHeight="1" thickBot="1" x14ac:dyDescent="0.25">
      <c r="A40" s="62" t="s">
        <v>35</v>
      </c>
      <c r="B40" s="63">
        <f t="shared" ref="B40:Z40" si="2">SUM(B15:B39)</f>
        <v>224296</v>
      </c>
      <c r="C40" s="63">
        <f t="shared" si="2"/>
        <v>255180</v>
      </c>
      <c r="D40" s="63">
        <f t="shared" si="2"/>
        <v>151457</v>
      </c>
      <c r="E40" s="63">
        <f t="shared" si="2"/>
        <v>216780</v>
      </c>
      <c r="F40" s="63">
        <f t="shared" si="2"/>
        <v>113978</v>
      </c>
      <c r="G40" s="63">
        <f t="shared" si="2"/>
        <v>102108</v>
      </c>
      <c r="H40" s="63">
        <f t="shared" si="2"/>
        <v>118604</v>
      </c>
      <c r="I40" s="63">
        <f t="shared" si="2"/>
        <v>625200</v>
      </c>
      <c r="J40" s="63">
        <f t="shared" si="2"/>
        <v>110410</v>
      </c>
      <c r="K40" s="63">
        <f t="shared" si="2"/>
        <v>149405</v>
      </c>
      <c r="L40" s="63">
        <f t="shared" si="2"/>
        <v>131496</v>
      </c>
      <c r="M40" s="63">
        <f t="shared" si="2"/>
        <v>209470</v>
      </c>
      <c r="N40" s="63">
        <f t="shared" si="2"/>
        <v>1500126</v>
      </c>
      <c r="O40" s="63">
        <f t="shared" si="2"/>
        <v>146080</v>
      </c>
      <c r="P40" s="63">
        <f t="shared" si="2"/>
        <v>332715</v>
      </c>
      <c r="Q40" s="63">
        <f t="shared" si="2"/>
        <v>442451</v>
      </c>
      <c r="R40" s="63">
        <f>SUM(R15:R39)</f>
        <v>241485</v>
      </c>
      <c r="S40" s="63">
        <f t="shared" si="2"/>
        <v>244800</v>
      </c>
      <c r="T40" s="63">
        <f t="shared" si="2"/>
        <v>162649</v>
      </c>
      <c r="U40" s="63">
        <f t="shared" si="2"/>
        <v>294045</v>
      </c>
      <c r="V40" s="63">
        <f t="shared" si="2"/>
        <v>365579</v>
      </c>
      <c r="W40" s="63">
        <f t="shared" si="2"/>
        <v>398879</v>
      </c>
      <c r="X40" s="63">
        <f t="shared" si="2"/>
        <v>219611</v>
      </c>
      <c r="Y40" s="63">
        <f t="shared" si="2"/>
        <v>85351</v>
      </c>
      <c r="Z40" s="63">
        <f t="shared" si="2"/>
        <v>488734</v>
      </c>
      <c r="AA40" s="63">
        <f>SUM(AA15:AA39)</f>
        <v>201659</v>
      </c>
      <c r="AB40" s="63">
        <f>SUM(AB15:AB39)</f>
        <v>228566</v>
      </c>
      <c r="AC40" s="63">
        <f>SUM(AC15:AC39)</f>
        <v>4699812</v>
      </c>
      <c r="AD40" s="63">
        <f>SUM(AD15:AD39)</f>
        <v>104538</v>
      </c>
      <c r="AE40" s="64"/>
      <c r="AF40" s="63">
        <f t="shared" si="0"/>
        <v>12565464</v>
      </c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</row>
    <row r="41" spans="1:62" ht="15.75" thickBot="1" x14ac:dyDescent="0.3">
      <c r="A41" s="96" t="s">
        <v>33</v>
      </c>
      <c r="B41" s="116">
        <v>0</v>
      </c>
      <c r="C41" s="116"/>
      <c r="D41" s="116">
        <v>0</v>
      </c>
      <c r="E41" s="116">
        <v>0</v>
      </c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7"/>
      <c r="AF41" s="116">
        <f t="shared" si="0"/>
        <v>0</v>
      </c>
    </row>
    <row r="42" spans="1:62" s="47" customFormat="1" ht="13.5" thickBot="1" x14ac:dyDescent="0.25">
      <c r="A42" s="65" t="s">
        <v>34</v>
      </c>
      <c r="B42" s="56">
        <f t="shared" ref="B42:Z42" si="3">SUM(B40:B41)</f>
        <v>224296</v>
      </c>
      <c r="C42" s="56">
        <f t="shared" si="3"/>
        <v>255180</v>
      </c>
      <c r="D42" s="56">
        <f t="shared" si="3"/>
        <v>151457</v>
      </c>
      <c r="E42" s="56">
        <f t="shared" si="3"/>
        <v>216780</v>
      </c>
      <c r="F42" s="56">
        <f t="shared" si="3"/>
        <v>113978</v>
      </c>
      <c r="G42" s="56">
        <f t="shared" si="3"/>
        <v>102108</v>
      </c>
      <c r="H42" s="56">
        <f t="shared" si="3"/>
        <v>118604</v>
      </c>
      <c r="I42" s="56">
        <f t="shared" si="3"/>
        <v>625200</v>
      </c>
      <c r="J42" s="56">
        <f t="shared" si="3"/>
        <v>110410</v>
      </c>
      <c r="K42" s="56">
        <f t="shared" si="3"/>
        <v>149405</v>
      </c>
      <c r="L42" s="56">
        <f t="shared" si="3"/>
        <v>131496</v>
      </c>
      <c r="M42" s="56">
        <f t="shared" si="3"/>
        <v>209470</v>
      </c>
      <c r="N42" s="56">
        <f t="shared" si="3"/>
        <v>1500126</v>
      </c>
      <c r="O42" s="56">
        <f t="shared" si="3"/>
        <v>146080</v>
      </c>
      <c r="P42" s="56">
        <f>SUM(P40:P41)</f>
        <v>332715</v>
      </c>
      <c r="Q42" s="56">
        <f>SUM(Q40:Q41)</f>
        <v>442451</v>
      </c>
      <c r="R42" s="56">
        <f t="shared" si="3"/>
        <v>241485</v>
      </c>
      <c r="S42" s="56">
        <f t="shared" si="3"/>
        <v>244800</v>
      </c>
      <c r="T42" s="56">
        <f t="shared" si="3"/>
        <v>162649</v>
      </c>
      <c r="U42" s="56">
        <f t="shared" si="3"/>
        <v>294045</v>
      </c>
      <c r="V42" s="56">
        <f>SUM(V40:V41)</f>
        <v>365579</v>
      </c>
      <c r="W42" s="56">
        <f t="shared" si="3"/>
        <v>398879</v>
      </c>
      <c r="X42" s="56">
        <f t="shared" si="3"/>
        <v>219611</v>
      </c>
      <c r="Y42" s="56">
        <f t="shared" si="3"/>
        <v>85351</v>
      </c>
      <c r="Z42" s="56">
        <f t="shared" si="3"/>
        <v>488734</v>
      </c>
      <c r="AA42" s="56">
        <f>SUM(AA40:AA41)</f>
        <v>201659</v>
      </c>
      <c r="AB42" s="56">
        <f>SUM(AB40:AB41)</f>
        <v>228566</v>
      </c>
      <c r="AC42" s="56">
        <f>SUM(AC40:AC41)</f>
        <v>4699812</v>
      </c>
      <c r="AD42" s="56">
        <f>SUM(AD40:AD41)</f>
        <v>104538</v>
      </c>
      <c r="AE42" s="118"/>
      <c r="AF42" s="56">
        <f t="shared" si="0"/>
        <v>12565464</v>
      </c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</row>
    <row r="43" spans="1:62" ht="13.5" thickBot="1" x14ac:dyDescent="0.25">
      <c r="A43" s="25"/>
      <c r="B43" s="31"/>
      <c r="C43" s="31"/>
      <c r="D43" s="31"/>
      <c r="E43" s="3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7"/>
      <c r="AF43" s="31"/>
    </row>
    <row r="44" spans="1:62" x14ac:dyDescent="0.2">
      <c r="A44" s="12" t="s">
        <v>58</v>
      </c>
      <c r="B44" s="52"/>
      <c r="C44" s="52"/>
      <c r="D44" s="105"/>
      <c r="E44" s="105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3"/>
      <c r="AF44" s="105"/>
    </row>
    <row r="45" spans="1:62" x14ac:dyDescent="0.2">
      <c r="A45" s="3" t="s">
        <v>59</v>
      </c>
      <c r="B45" s="119"/>
      <c r="C45" s="119"/>
      <c r="D45" s="119"/>
      <c r="E45" s="119">
        <v>74911</v>
      </c>
      <c r="F45" s="139"/>
      <c r="G45" s="139"/>
      <c r="H45" s="139"/>
      <c r="I45" s="139"/>
      <c r="J45" s="139"/>
      <c r="K45" s="139">
        <v>42470</v>
      </c>
      <c r="L45" s="139">
        <v>29385</v>
      </c>
      <c r="M45" s="139"/>
      <c r="N45" s="139"/>
      <c r="O45" s="139"/>
      <c r="P45" s="139"/>
      <c r="Q45" s="139">
        <v>35000</v>
      </c>
      <c r="R45" s="139"/>
      <c r="S45" s="139"/>
      <c r="T45" s="139"/>
      <c r="U45" s="139"/>
      <c r="V45" s="139">
        <v>42500</v>
      </c>
      <c r="W45" s="139">
        <v>80140</v>
      </c>
      <c r="X45" s="139"/>
      <c r="Y45" s="139"/>
      <c r="Z45" s="139"/>
      <c r="AA45" s="139">
        <v>88730</v>
      </c>
      <c r="AB45" s="139">
        <v>68945</v>
      </c>
      <c r="AC45" s="139"/>
      <c r="AD45" s="139"/>
      <c r="AE45" s="7"/>
      <c r="AF45" s="119">
        <f t="shared" si="0"/>
        <v>462081</v>
      </c>
    </row>
    <row r="46" spans="1:62" x14ac:dyDescent="0.2">
      <c r="A46" s="3" t="s">
        <v>60</v>
      </c>
      <c r="B46" s="31"/>
      <c r="C46" s="31"/>
      <c r="D46" s="31"/>
      <c r="E46" s="31"/>
      <c r="F46" s="21"/>
      <c r="G46" s="21"/>
      <c r="H46" s="139"/>
      <c r="I46" s="21"/>
      <c r="J46" s="21"/>
      <c r="K46" s="21"/>
      <c r="L46" s="139"/>
      <c r="M46" s="139"/>
      <c r="N46" s="139"/>
      <c r="O46" s="139"/>
      <c r="P46" s="139"/>
      <c r="Q46" s="139"/>
      <c r="R46" s="139"/>
      <c r="S46" s="139">
        <v>78575</v>
      </c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7"/>
      <c r="AF46" s="119">
        <f t="shared" si="0"/>
        <v>78575</v>
      </c>
    </row>
    <row r="47" spans="1:62" x14ac:dyDescent="0.2">
      <c r="A47" s="3" t="s">
        <v>61</v>
      </c>
      <c r="B47" s="119">
        <v>99995</v>
      </c>
      <c r="C47" s="119">
        <v>149995</v>
      </c>
      <c r="D47" s="119"/>
      <c r="E47" s="119">
        <v>730350</v>
      </c>
      <c r="F47" s="139"/>
      <c r="G47" s="139"/>
      <c r="H47" s="139"/>
      <c r="I47" s="139">
        <v>3225269</v>
      </c>
      <c r="J47" s="109"/>
      <c r="K47" s="139">
        <v>162730</v>
      </c>
      <c r="L47" s="139">
        <v>118245</v>
      </c>
      <c r="M47" s="139">
        <v>100000</v>
      </c>
      <c r="N47" s="139">
        <v>3489150</v>
      </c>
      <c r="O47" s="139">
        <v>41800</v>
      </c>
      <c r="P47" s="139"/>
      <c r="Q47" s="139">
        <v>269223</v>
      </c>
      <c r="R47" s="139">
        <v>403160</v>
      </c>
      <c r="S47" s="139">
        <v>153500</v>
      </c>
      <c r="T47" s="139">
        <v>74995</v>
      </c>
      <c r="U47" s="139"/>
      <c r="V47" s="139">
        <v>212500</v>
      </c>
      <c r="W47" s="139">
        <v>400700</v>
      </c>
      <c r="X47" s="139">
        <v>206375</v>
      </c>
      <c r="Y47" s="139">
        <v>105719</v>
      </c>
      <c r="Z47" s="139">
        <v>993486</v>
      </c>
      <c r="AA47" s="139">
        <v>337240</v>
      </c>
      <c r="AB47" s="139">
        <v>167183</v>
      </c>
      <c r="AC47" s="139">
        <v>10727834</v>
      </c>
      <c r="AD47" s="139"/>
      <c r="AE47" s="7"/>
      <c r="AF47" s="119">
        <f t="shared" si="0"/>
        <v>22169449</v>
      </c>
    </row>
    <row r="48" spans="1:62" x14ac:dyDescent="0.2">
      <c r="A48" s="3" t="s">
        <v>62</v>
      </c>
      <c r="B48" s="31"/>
      <c r="C48" s="31"/>
      <c r="D48" s="31"/>
      <c r="E48" s="31"/>
      <c r="F48" s="21"/>
      <c r="G48" s="21"/>
      <c r="H48" s="139"/>
      <c r="I48" s="119"/>
      <c r="K48" s="21"/>
      <c r="L48" s="21"/>
      <c r="M48" s="139"/>
      <c r="N48" s="139"/>
      <c r="O48" s="139"/>
      <c r="P48" s="139"/>
      <c r="Q48" s="139"/>
      <c r="R48" s="139"/>
      <c r="S48" s="139"/>
      <c r="T48" s="139"/>
      <c r="U48" s="139">
        <v>78070</v>
      </c>
      <c r="W48" s="139"/>
      <c r="X48" s="139"/>
      <c r="Y48" s="139"/>
      <c r="Z48" s="139"/>
      <c r="AA48" s="139"/>
      <c r="AB48" s="139"/>
      <c r="AC48" s="139"/>
      <c r="AD48" s="139"/>
      <c r="AE48" s="7"/>
      <c r="AF48" s="119">
        <f t="shared" si="0"/>
        <v>78070</v>
      </c>
    </row>
    <row r="49" spans="1:62" x14ac:dyDescent="0.2">
      <c r="A49" s="3" t="s">
        <v>63</v>
      </c>
      <c r="B49" s="119">
        <v>1009</v>
      </c>
      <c r="C49" s="119">
        <v>17458</v>
      </c>
      <c r="D49" s="119"/>
      <c r="E49" s="119">
        <v>22083</v>
      </c>
      <c r="F49" s="139"/>
      <c r="G49" s="139"/>
      <c r="H49" s="139"/>
      <c r="I49" s="139">
        <v>59579</v>
      </c>
      <c r="J49" s="139"/>
      <c r="K49" s="139">
        <v>9654</v>
      </c>
      <c r="L49" s="139">
        <v>7696</v>
      </c>
      <c r="M49" s="139">
        <v>1181</v>
      </c>
      <c r="N49" s="139">
        <v>142899</v>
      </c>
      <c r="O49" s="139">
        <v>5004</v>
      </c>
      <c r="P49" s="139"/>
      <c r="Q49" s="139">
        <v>15477.5</v>
      </c>
      <c r="R49" s="139">
        <v>19904.39</v>
      </c>
      <c r="S49" s="139"/>
      <c r="T49" s="139">
        <v>3906</v>
      </c>
      <c r="U49" s="139"/>
      <c r="V49" s="139">
        <v>13750</v>
      </c>
      <c r="W49" s="139">
        <v>16020</v>
      </c>
      <c r="X49" s="139"/>
      <c r="Y49" s="139">
        <v>18939</v>
      </c>
      <c r="Z49" s="139">
        <v>51498</v>
      </c>
      <c r="AA49" s="139">
        <v>13376</v>
      </c>
      <c r="AB49" s="139">
        <v>13485</v>
      </c>
      <c r="AC49" s="139">
        <v>861321</v>
      </c>
      <c r="AD49" s="139"/>
      <c r="AE49" s="7"/>
      <c r="AF49" s="119">
        <f t="shared" si="0"/>
        <v>1294239.8900000001</v>
      </c>
    </row>
    <row r="50" spans="1:62" ht="13.5" thickBot="1" x14ac:dyDescent="0.25">
      <c r="A50" s="10" t="s">
        <v>22</v>
      </c>
      <c r="B50" s="56">
        <v>30000</v>
      </c>
      <c r="C50" s="56">
        <v>30000</v>
      </c>
      <c r="D50" s="56">
        <v>1666.67</v>
      </c>
      <c r="E50" s="56">
        <v>30000</v>
      </c>
      <c r="F50" s="57">
        <v>1666.67</v>
      </c>
      <c r="G50" s="57">
        <v>1666.67</v>
      </c>
      <c r="H50" s="57">
        <v>1666.67</v>
      </c>
      <c r="I50" s="57">
        <v>100000</v>
      </c>
      <c r="J50" s="57">
        <v>1666.67</v>
      </c>
      <c r="K50" s="57">
        <v>30000</v>
      </c>
      <c r="L50" s="57">
        <v>30000</v>
      </c>
      <c r="M50" s="57">
        <v>30000</v>
      </c>
      <c r="N50" s="57">
        <v>150000</v>
      </c>
      <c r="O50" s="57">
        <v>17500</v>
      </c>
      <c r="P50" s="57"/>
      <c r="Q50" s="57">
        <v>31177.5</v>
      </c>
      <c r="R50" s="57">
        <v>57236</v>
      </c>
      <c r="S50" s="57"/>
      <c r="T50" s="57">
        <f>25000+5000</f>
        <v>30000</v>
      </c>
      <c r="U50" s="57">
        <v>20000</v>
      </c>
      <c r="V50" s="57">
        <v>50000</v>
      </c>
      <c r="W50" s="57">
        <v>80140</v>
      </c>
      <c r="X50" s="57"/>
      <c r="Y50" s="57"/>
      <c r="Z50" s="57"/>
      <c r="AA50" s="57">
        <v>35000</v>
      </c>
      <c r="AB50" s="57">
        <v>40000</v>
      </c>
      <c r="AC50" s="57"/>
      <c r="AD50" s="57">
        <v>1666.67</v>
      </c>
      <c r="AE50" s="11"/>
      <c r="AF50" s="56">
        <f t="shared" si="0"/>
        <v>801053.52</v>
      </c>
    </row>
    <row r="51" spans="1:62" s="69" customFormat="1" ht="13.5" thickBot="1" x14ac:dyDescent="0.25">
      <c r="A51" s="67" t="s">
        <v>37</v>
      </c>
      <c r="B51" s="120">
        <f>SUM(B45:B50)</f>
        <v>131004</v>
      </c>
      <c r="C51" s="120">
        <f t="shared" ref="C51:AD51" si="4">SUM(C45:C50)</f>
        <v>197453</v>
      </c>
      <c r="D51" s="120">
        <f t="shared" si="4"/>
        <v>1666.67</v>
      </c>
      <c r="E51" s="120">
        <f t="shared" si="4"/>
        <v>857344</v>
      </c>
      <c r="F51" s="120">
        <f t="shared" si="4"/>
        <v>1666.67</v>
      </c>
      <c r="G51" s="120">
        <f t="shared" si="4"/>
        <v>1666.67</v>
      </c>
      <c r="H51" s="120">
        <f t="shared" si="4"/>
        <v>1666.67</v>
      </c>
      <c r="I51" s="120">
        <f t="shared" si="4"/>
        <v>3384848</v>
      </c>
      <c r="J51" s="120">
        <f t="shared" si="4"/>
        <v>1666.67</v>
      </c>
      <c r="K51" s="120">
        <f t="shared" si="4"/>
        <v>244854</v>
      </c>
      <c r="L51" s="120">
        <f t="shared" si="4"/>
        <v>185326</v>
      </c>
      <c r="M51" s="120">
        <f t="shared" si="4"/>
        <v>131181</v>
      </c>
      <c r="N51" s="120">
        <f t="shared" si="4"/>
        <v>3782049</v>
      </c>
      <c r="O51" s="120">
        <f t="shared" si="4"/>
        <v>64304</v>
      </c>
      <c r="P51" s="120">
        <f t="shared" si="4"/>
        <v>0</v>
      </c>
      <c r="Q51" s="120">
        <f t="shared" si="4"/>
        <v>350878</v>
      </c>
      <c r="R51" s="120">
        <f t="shared" si="4"/>
        <v>480300.39</v>
      </c>
      <c r="S51" s="120">
        <f t="shared" si="4"/>
        <v>232075</v>
      </c>
      <c r="T51" s="120">
        <f t="shared" si="4"/>
        <v>108901</v>
      </c>
      <c r="U51" s="120">
        <f t="shared" si="4"/>
        <v>98070</v>
      </c>
      <c r="V51" s="120">
        <f t="shared" si="4"/>
        <v>318750</v>
      </c>
      <c r="W51" s="120">
        <f t="shared" si="4"/>
        <v>577000</v>
      </c>
      <c r="X51" s="120">
        <f t="shared" si="4"/>
        <v>206375</v>
      </c>
      <c r="Y51" s="120">
        <f t="shared" si="4"/>
        <v>124658</v>
      </c>
      <c r="Z51" s="120">
        <f t="shared" si="4"/>
        <v>1044984</v>
      </c>
      <c r="AA51" s="120">
        <f t="shared" si="4"/>
        <v>474346</v>
      </c>
      <c r="AB51" s="120">
        <f t="shared" si="4"/>
        <v>289613</v>
      </c>
      <c r="AC51" s="120">
        <f t="shared" si="4"/>
        <v>11589155</v>
      </c>
      <c r="AD51" s="120">
        <f t="shared" si="4"/>
        <v>1666.67</v>
      </c>
      <c r="AE51" s="121"/>
      <c r="AF51" s="120">
        <f t="shared" si="0"/>
        <v>24883468.410000004</v>
      </c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</row>
    <row r="52" spans="1:62" s="68" customFormat="1" ht="13.5" thickBot="1" x14ac:dyDescent="0.25">
      <c r="A52" s="14" t="s">
        <v>32</v>
      </c>
      <c r="B52" s="116"/>
      <c r="C52" s="116"/>
      <c r="D52" s="116"/>
      <c r="E52" s="11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2"/>
      <c r="AF52" s="116"/>
    </row>
    <row r="53" spans="1:62" s="71" customFormat="1" ht="13.5" thickBot="1" x14ac:dyDescent="0.25">
      <c r="A53" s="70" t="s">
        <v>38</v>
      </c>
      <c r="B53" s="123">
        <v>0</v>
      </c>
      <c r="C53" s="123">
        <v>0</v>
      </c>
      <c r="D53" s="123">
        <v>83500</v>
      </c>
      <c r="E53" s="123">
        <v>0</v>
      </c>
      <c r="F53" s="123">
        <v>55000</v>
      </c>
      <c r="G53" s="125">
        <v>46450</v>
      </c>
      <c r="H53" s="125">
        <v>59850</v>
      </c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4"/>
      <c r="AF53" s="123">
        <f t="shared" si="0"/>
        <v>244800</v>
      </c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</row>
    <row r="54" spans="1:62" ht="13.5" thickBot="1" x14ac:dyDescent="0.25">
      <c r="A54" s="25"/>
      <c r="B54" s="31"/>
      <c r="C54" s="31"/>
      <c r="D54" s="31"/>
      <c r="E54" s="3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7"/>
      <c r="AF54" s="31"/>
    </row>
    <row r="55" spans="1:62" s="73" customFormat="1" ht="15.75" thickBot="1" x14ac:dyDescent="0.3">
      <c r="A55" s="96" t="s">
        <v>21</v>
      </c>
      <c r="B55" s="116"/>
      <c r="C55" s="116"/>
      <c r="D55" s="116"/>
      <c r="E55" s="11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>
        <v>247835</v>
      </c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17"/>
      <c r="AF55" s="116">
        <f>SUM(B55:AD55)</f>
        <v>247835</v>
      </c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</row>
    <row r="56" spans="1:62" ht="13.5" thickBot="1" x14ac:dyDescent="0.25">
      <c r="A56" s="25"/>
      <c r="B56" s="31"/>
      <c r="C56" s="31"/>
      <c r="D56" s="31"/>
      <c r="E56" s="3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7"/>
      <c r="AF56" s="31"/>
    </row>
    <row r="57" spans="1:62" s="43" customFormat="1" x14ac:dyDescent="0.2">
      <c r="A57" s="62" t="s">
        <v>45</v>
      </c>
      <c r="B57" s="63">
        <f t="shared" ref="B57:AD57" si="5">SUM(B40,B51,B53)</f>
        <v>355300</v>
      </c>
      <c r="C57" s="63">
        <f t="shared" si="5"/>
        <v>452633</v>
      </c>
      <c r="D57" s="63">
        <f t="shared" si="5"/>
        <v>236623.67</v>
      </c>
      <c r="E57" s="63">
        <f t="shared" si="5"/>
        <v>1074124</v>
      </c>
      <c r="F57" s="63">
        <f t="shared" si="5"/>
        <v>170644.66999999998</v>
      </c>
      <c r="G57" s="63">
        <f t="shared" si="5"/>
        <v>150224.66999999998</v>
      </c>
      <c r="H57" s="63">
        <f t="shared" si="5"/>
        <v>180120.66999999998</v>
      </c>
      <c r="I57" s="63">
        <f t="shared" si="5"/>
        <v>4010048</v>
      </c>
      <c r="J57" s="63">
        <f t="shared" si="5"/>
        <v>112076.67</v>
      </c>
      <c r="K57" s="63">
        <f t="shared" si="5"/>
        <v>394259</v>
      </c>
      <c r="L57" s="63">
        <f t="shared" si="5"/>
        <v>316822</v>
      </c>
      <c r="M57" s="63">
        <f t="shared" si="5"/>
        <v>340651</v>
      </c>
      <c r="N57" s="63">
        <f t="shared" si="5"/>
        <v>5282175</v>
      </c>
      <c r="O57" s="63">
        <f t="shared" si="5"/>
        <v>210384</v>
      </c>
      <c r="P57" s="63">
        <f t="shared" si="5"/>
        <v>332715</v>
      </c>
      <c r="Q57" s="63">
        <f t="shared" si="5"/>
        <v>793329</v>
      </c>
      <c r="R57" s="63">
        <f t="shared" si="5"/>
        <v>721785.39</v>
      </c>
      <c r="S57" s="63">
        <f t="shared" si="5"/>
        <v>476875</v>
      </c>
      <c r="T57" s="63">
        <f t="shared" si="5"/>
        <v>271550</v>
      </c>
      <c r="U57" s="63">
        <f t="shared" si="5"/>
        <v>392115</v>
      </c>
      <c r="V57" s="63">
        <f t="shared" si="5"/>
        <v>684329</v>
      </c>
      <c r="W57" s="63">
        <f t="shared" si="5"/>
        <v>975879</v>
      </c>
      <c r="X57" s="63">
        <f t="shared" si="5"/>
        <v>425986</v>
      </c>
      <c r="Y57" s="63">
        <f t="shared" si="5"/>
        <v>210009</v>
      </c>
      <c r="Z57" s="63">
        <f t="shared" si="5"/>
        <v>1533718</v>
      </c>
      <c r="AA57" s="63">
        <f t="shared" si="5"/>
        <v>676005</v>
      </c>
      <c r="AB57" s="63">
        <f t="shared" si="5"/>
        <v>518179</v>
      </c>
      <c r="AC57" s="63">
        <f t="shared" si="5"/>
        <v>16288967</v>
      </c>
      <c r="AD57" s="63">
        <f t="shared" si="5"/>
        <v>106204.67</v>
      </c>
      <c r="AE57" s="75"/>
      <c r="AF57" s="63">
        <f t="shared" si="0"/>
        <v>37693732.410000004</v>
      </c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</row>
    <row r="58" spans="1:62" s="47" customFormat="1" ht="13.5" thickBot="1" x14ac:dyDescent="0.25">
      <c r="A58" s="65" t="s">
        <v>36</v>
      </c>
      <c r="B58" s="56">
        <f t="shared" ref="B58:AD58" si="6">B42+B51+B53</f>
        <v>355300</v>
      </c>
      <c r="C58" s="56">
        <f t="shared" si="6"/>
        <v>452633</v>
      </c>
      <c r="D58" s="56">
        <f t="shared" si="6"/>
        <v>236623.67</v>
      </c>
      <c r="E58" s="56">
        <f t="shared" si="6"/>
        <v>1074124</v>
      </c>
      <c r="F58" s="56">
        <f t="shared" si="6"/>
        <v>170644.66999999998</v>
      </c>
      <c r="G58" s="56">
        <f t="shared" si="6"/>
        <v>150224.66999999998</v>
      </c>
      <c r="H58" s="56">
        <f t="shared" si="6"/>
        <v>180120.66999999998</v>
      </c>
      <c r="I58" s="56">
        <f t="shared" si="6"/>
        <v>4010048</v>
      </c>
      <c r="J58" s="56">
        <f t="shared" si="6"/>
        <v>112076.67</v>
      </c>
      <c r="K58" s="56">
        <f t="shared" si="6"/>
        <v>394259</v>
      </c>
      <c r="L58" s="56">
        <f t="shared" si="6"/>
        <v>316822</v>
      </c>
      <c r="M58" s="56">
        <f t="shared" si="6"/>
        <v>340651</v>
      </c>
      <c r="N58" s="56">
        <f t="shared" si="6"/>
        <v>5282175</v>
      </c>
      <c r="O58" s="56">
        <f t="shared" si="6"/>
        <v>210384</v>
      </c>
      <c r="P58" s="56">
        <f t="shared" si="6"/>
        <v>332715</v>
      </c>
      <c r="Q58" s="56">
        <f t="shared" si="6"/>
        <v>793329</v>
      </c>
      <c r="R58" s="56">
        <f t="shared" si="6"/>
        <v>721785.39</v>
      </c>
      <c r="S58" s="56">
        <f t="shared" si="6"/>
        <v>476875</v>
      </c>
      <c r="T58" s="56">
        <f t="shared" si="6"/>
        <v>271550</v>
      </c>
      <c r="U58" s="56">
        <f t="shared" si="6"/>
        <v>392115</v>
      </c>
      <c r="V58" s="56">
        <f t="shared" si="6"/>
        <v>684329</v>
      </c>
      <c r="W58" s="56">
        <f t="shared" si="6"/>
        <v>975879</v>
      </c>
      <c r="X58" s="56">
        <f t="shared" si="6"/>
        <v>425986</v>
      </c>
      <c r="Y58" s="56">
        <f t="shared" si="6"/>
        <v>210009</v>
      </c>
      <c r="Z58" s="56">
        <f t="shared" si="6"/>
        <v>1533718</v>
      </c>
      <c r="AA58" s="56">
        <f t="shared" si="6"/>
        <v>676005</v>
      </c>
      <c r="AB58" s="56">
        <f t="shared" si="6"/>
        <v>518179</v>
      </c>
      <c r="AC58" s="56">
        <f t="shared" si="6"/>
        <v>16288967</v>
      </c>
      <c r="AD58" s="56">
        <f t="shared" si="6"/>
        <v>106204.67</v>
      </c>
      <c r="AE58" s="58"/>
      <c r="AF58" s="56">
        <f t="shared" si="0"/>
        <v>37693732.410000004</v>
      </c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</row>
    <row r="59" spans="1:62" x14ac:dyDescent="0.2">
      <c r="A59" s="25"/>
      <c r="B59" s="119"/>
      <c r="C59" s="119"/>
      <c r="D59" s="119"/>
      <c r="E59" s="11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27"/>
      <c r="AF59" s="119"/>
    </row>
    <row r="60" spans="1:62" x14ac:dyDescent="0.2">
      <c r="A60" s="7"/>
      <c r="B60" s="7"/>
      <c r="C60" s="7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9"/>
      <c r="AF60" s="31"/>
    </row>
    <row r="61" spans="1:62" ht="12.75" customHeight="1" thickBot="1" x14ac:dyDescent="0.25">
      <c r="A61" s="25"/>
      <c r="B61" s="31"/>
      <c r="C61" s="31"/>
      <c r="D61" s="31"/>
      <c r="E61" s="3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7"/>
      <c r="AF61" s="31"/>
    </row>
    <row r="62" spans="1:62" s="26" customFormat="1" ht="15" x14ac:dyDescent="0.25">
      <c r="A62" s="95" t="s">
        <v>23</v>
      </c>
      <c r="B62" s="52"/>
      <c r="C62" s="52"/>
      <c r="D62" s="105"/>
      <c r="E62" s="105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7"/>
      <c r="AF62" s="105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</row>
    <row r="63" spans="1:62" x14ac:dyDescent="0.2">
      <c r="A63" s="3" t="s">
        <v>10</v>
      </c>
      <c r="B63" s="77">
        <f t="shared" ref="B63:AD63" si="7">B15/(B$9/1000)</f>
        <v>0.67503375168758439</v>
      </c>
      <c r="C63" s="77">
        <f t="shared" si="7"/>
        <v>0.58335277842594757</v>
      </c>
      <c r="D63" s="77">
        <f t="shared" si="7"/>
        <v>4.3329341317365273</v>
      </c>
      <c r="E63" s="77">
        <f t="shared" si="7"/>
        <v>0.14752827347579534</v>
      </c>
      <c r="F63" s="77">
        <f t="shared" si="7"/>
        <v>4.4945454545454542</v>
      </c>
      <c r="G63" s="77">
        <f t="shared" si="7"/>
        <v>4.5382131324004309</v>
      </c>
      <c r="H63" s="77">
        <f t="shared" si="7"/>
        <v>4.3341687552213868</v>
      </c>
      <c r="I63" s="77">
        <f t="shared" si="7"/>
        <v>0.1901514367706558</v>
      </c>
      <c r="J63" s="77">
        <f t="shared" si="7"/>
        <v>3.3755004003202562</v>
      </c>
      <c r="K63" s="77">
        <f t="shared" si="7"/>
        <v>1.0613374146456322</v>
      </c>
      <c r="L63" s="77">
        <f t="shared" si="7"/>
        <v>1.7015484090522375</v>
      </c>
      <c r="M63" s="77">
        <f t="shared" si="7"/>
        <v>0.67500000000000004</v>
      </c>
      <c r="N63" s="77">
        <f t="shared" si="7"/>
        <v>0.77599126281885156</v>
      </c>
      <c r="O63" s="77">
        <f t="shared" si="7"/>
        <v>3.7037037037037037</v>
      </c>
      <c r="P63" s="77">
        <f t="shared" si="7"/>
        <v>2.3636363636363638</v>
      </c>
      <c r="Q63" s="77">
        <f t="shared" si="7"/>
        <v>1.4834415844759843</v>
      </c>
      <c r="R63" s="77">
        <f t="shared" si="7"/>
        <v>0.77546519641626466</v>
      </c>
      <c r="S63" s="77">
        <f t="shared" si="7"/>
        <v>2.8143322475570032</v>
      </c>
      <c r="T63" s="77">
        <f t="shared" si="7"/>
        <v>4.5491525929532894</v>
      </c>
      <c r="U63" s="77">
        <f t="shared" si="7"/>
        <v>0.63654412706545405</v>
      </c>
      <c r="V63" s="77">
        <f t="shared" si="7"/>
        <v>1.9608941176470589</v>
      </c>
      <c r="W63" s="77">
        <f t="shared" si="7"/>
        <v>1.3102071375093587</v>
      </c>
      <c r="X63" s="77">
        <f t="shared" si="7"/>
        <v>0.76731608320649414</v>
      </c>
      <c r="Y63" s="77">
        <f t="shared" si="7"/>
        <v>0.40903430594555001</v>
      </c>
      <c r="Z63" s="77">
        <f t="shared" si="7"/>
        <v>0.40885062451724724</v>
      </c>
      <c r="AA63" s="77">
        <f t="shared" si="7"/>
        <v>0.37752733010255835</v>
      </c>
      <c r="AB63" s="77">
        <f t="shared" si="7"/>
        <v>1.0461382261222714</v>
      </c>
      <c r="AC63" s="77">
        <f t="shared" si="7"/>
        <v>0.78229535629502223</v>
      </c>
      <c r="AD63" s="77">
        <f t="shared" si="7"/>
        <v>4.5181347150259068</v>
      </c>
      <c r="AE63" s="86"/>
      <c r="AF63" s="82">
        <v>0.75008842037133394</v>
      </c>
    </row>
    <row r="64" spans="1:62" x14ac:dyDescent="0.2">
      <c r="A64" s="3" t="s">
        <v>31</v>
      </c>
      <c r="B64" s="77">
        <f t="shared" ref="B64:AD64" si="8">B16/(B$9/1000)</f>
        <v>0.20282014100705034</v>
      </c>
      <c r="C64" s="77">
        <f t="shared" si="8"/>
        <v>0.15769858995299843</v>
      </c>
      <c r="D64" s="77">
        <f t="shared" si="8"/>
        <v>0</v>
      </c>
      <c r="E64" s="77">
        <f t="shared" si="8"/>
        <v>0</v>
      </c>
      <c r="F64" s="77">
        <f t="shared" si="8"/>
        <v>0</v>
      </c>
      <c r="G64" s="77">
        <f t="shared" si="8"/>
        <v>0</v>
      </c>
      <c r="H64" s="77">
        <f t="shared" si="8"/>
        <v>0</v>
      </c>
      <c r="I64" s="77">
        <f t="shared" si="8"/>
        <v>0</v>
      </c>
      <c r="J64" s="77">
        <f t="shared" si="8"/>
        <v>0</v>
      </c>
      <c r="K64" s="77">
        <f t="shared" si="8"/>
        <v>0</v>
      </c>
      <c r="L64" s="77">
        <f t="shared" si="8"/>
        <v>0</v>
      </c>
      <c r="M64" s="77">
        <f t="shared" si="8"/>
        <v>0.20280999999999999</v>
      </c>
      <c r="N64" s="77">
        <f t="shared" si="8"/>
        <v>0</v>
      </c>
      <c r="O64" s="77">
        <f t="shared" si="8"/>
        <v>0</v>
      </c>
      <c r="P64" s="77">
        <f t="shared" si="8"/>
        <v>0</v>
      </c>
      <c r="Q64" s="77">
        <f t="shared" si="8"/>
        <v>0</v>
      </c>
      <c r="R64" s="77">
        <f t="shared" si="8"/>
        <v>0</v>
      </c>
      <c r="S64" s="77">
        <f t="shared" si="8"/>
        <v>0</v>
      </c>
      <c r="T64" s="77">
        <f t="shared" si="8"/>
        <v>1.4278880158761784</v>
      </c>
      <c r="U64" s="77">
        <f t="shared" si="8"/>
        <v>0.12128858716536442</v>
      </c>
      <c r="V64" s="77">
        <f t="shared" si="8"/>
        <v>0.42089411764705881</v>
      </c>
      <c r="W64" s="77">
        <f t="shared" si="8"/>
        <v>0.20250811080608935</v>
      </c>
      <c r="X64" s="77">
        <f t="shared" si="8"/>
        <v>0.14844241501775748</v>
      </c>
      <c r="Y64" s="77">
        <f t="shared" si="8"/>
        <v>0</v>
      </c>
      <c r="Z64" s="77">
        <f t="shared" si="8"/>
        <v>0</v>
      </c>
      <c r="AA64" s="77">
        <f t="shared" si="8"/>
        <v>0</v>
      </c>
      <c r="AB64" s="77">
        <f t="shared" si="8"/>
        <v>0</v>
      </c>
      <c r="AC64" s="77">
        <f t="shared" si="8"/>
        <v>0</v>
      </c>
      <c r="AD64" s="77">
        <f t="shared" si="8"/>
        <v>0</v>
      </c>
      <c r="AE64" s="86"/>
      <c r="AF64" s="77">
        <v>0.20920389352702146</v>
      </c>
    </row>
    <row r="65" spans="1:32" x14ac:dyDescent="0.2">
      <c r="A65" s="3" t="s">
        <v>11</v>
      </c>
      <c r="B65" s="77">
        <f t="shared" ref="B65:AD65" si="9">B17/(B$9/1000)</f>
        <v>0.36499824991249563</v>
      </c>
      <c r="C65" s="77">
        <f t="shared" si="9"/>
        <v>0.35999866662222074</v>
      </c>
      <c r="D65" s="77">
        <f t="shared" si="9"/>
        <v>1.1976047904191616</v>
      </c>
      <c r="E65" s="77">
        <f t="shared" si="9"/>
        <v>0.41930605837311374</v>
      </c>
      <c r="F65" s="77">
        <f t="shared" si="9"/>
        <v>1.8181818181818181</v>
      </c>
      <c r="G65" s="77">
        <f t="shared" si="9"/>
        <v>2.1528525296017222</v>
      </c>
      <c r="H65" s="77">
        <f t="shared" si="9"/>
        <v>1.6708437761069339</v>
      </c>
      <c r="I65" s="77">
        <f t="shared" si="9"/>
        <v>7.6235698999678719E-2</v>
      </c>
      <c r="J65" s="77">
        <f t="shared" si="9"/>
        <v>1.6012810248198559</v>
      </c>
      <c r="K65" s="77">
        <f t="shared" si="9"/>
        <v>0.9136331528137509</v>
      </c>
      <c r="L65" s="77">
        <f t="shared" si="9"/>
        <v>1.4279734558448187</v>
      </c>
      <c r="M65" s="77">
        <f t="shared" si="9"/>
        <v>0.36499999999999999</v>
      </c>
      <c r="N65" s="77">
        <f t="shared" si="9"/>
        <v>0.15109523280638751</v>
      </c>
      <c r="O65" s="77">
        <f t="shared" si="9"/>
        <v>4.6175802469135805</v>
      </c>
      <c r="P65" s="77">
        <f t="shared" si="9"/>
        <v>0.84936363636363632</v>
      </c>
      <c r="Q65" s="77">
        <f t="shared" si="9"/>
        <v>0.80186031593296447</v>
      </c>
      <c r="R65" s="77">
        <f t="shared" si="9"/>
        <v>0.63074890879852974</v>
      </c>
      <c r="S65" s="77">
        <f t="shared" si="9"/>
        <v>2.3257328990228014</v>
      </c>
      <c r="T65" s="77">
        <f t="shared" si="9"/>
        <v>3.1844068150673026</v>
      </c>
      <c r="U65" s="77">
        <f t="shared" si="9"/>
        <v>1</v>
      </c>
      <c r="V65" s="77">
        <f t="shared" si="9"/>
        <v>2</v>
      </c>
      <c r="W65" s="77">
        <f t="shared" si="9"/>
        <v>1</v>
      </c>
      <c r="X65" s="77">
        <f t="shared" si="9"/>
        <v>0.62500253678335871</v>
      </c>
      <c r="Y65" s="77">
        <f t="shared" si="9"/>
        <v>0.50306433890855817</v>
      </c>
      <c r="Z65" s="77">
        <f t="shared" si="9"/>
        <v>0.50329873212637288</v>
      </c>
      <c r="AA65" s="77">
        <f t="shared" si="9"/>
        <v>0.50254705285698187</v>
      </c>
      <c r="AB65" s="77">
        <f t="shared" si="9"/>
        <v>0.78220320545362243</v>
      </c>
      <c r="AC65" s="77">
        <f t="shared" si="9"/>
        <v>0.17191614076013009</v>
      </c>
      <c r="AD65" s="77">
        <f t="shared" si="9"/>
        <v>2.0725388601036268</v>
      </c>
      <c r="AE65" s="86"/>
      <c r="AF65" s="77">
        <v>0.30867246482818844</v>
      </c>
    </row>
    <row r="66" spans="1:32" x14ac:dyDescent="0.2">
      <c r="A66" s="3" t="s">
        <v>73</v>
      </c>
      <c r="B66" s="77">
        <f t="shared" ref="B66:AD66" si="10">B18/(B$9/1000)</f>
        <v>0</v>
      </c>
      <c r="C66" s="77">
        <f t="shared" si="10"/>
        <v>0</v>
      </c>
      <c r="D66" s="77">
        <f t="shared" si="10"/>
        <v>0</v>
      </c>
      <c r="E66" s="77">
        <f t="shared" si="10"/>
        <v>0</v>
      </c>
      <c r="F66" s="77">
        <f t="shared" si="10"/>
        <v>0</v>
      </c>
      <c r="G66" s="77">
        <f t="shared" si="10"/>
        <v>0</v>
      </c>
      <c r="H66" s="77">
        <f t="shared" si="10"/>
        <v>0</v>
      </c>
      <c r="I66" s="77">
        <f t="shared" si="10"/>
        <v>0</v>
      </c>
      <c r="J66" s="77">
        <f t="shared" si="10"/>
        <v>0</v>
      </c>
      <c r="K66" s="77">
        <f t="shared" si="10"/>
        <v>0</v>
      </c>
      <c r="L66" s="77">
        <f t="shared" si="10"/>
        <v>0</v>
      </c>
      <c r="M66" s="77">
        <f t="shared" si="10"/>
        <v>0</v>
      </c>
      <c r="N66" s="77">
        <f t="shared" si="10"/>
        <v>0</v>
      </c>
      <c r="O66" s="77">
        <f t="shared" si="10"/>
        <v>0</v>
      </c>
      <c r="P66" s="77">
        <f t="shared" si="10"/>
        <v>0</v>
      </c>
      <c r="Q66" s="77">
        <f t="shared" si="10"/>
        <v>0</v>
      </c>
      <c r="R66" s="77">
        <f t="shared" si="10"/>
        <v>0</v>
      </c>
      <c r="S66" s="77">
        <f t="shared" si="10"/>
        <v>0</v>
      </c>
      <c r="T66" s="77">
        <f t="shared" si="10"/>
        <v>0</v>
      </c>
      <c r="U66" s="77">
        <f t="shared" si="10"/>
        <v>0</v>
      </c>
      <c r="V66" s="77">
        <f t="shared" si="10"/>
        <v>0</v>
      </c>
      <c r="W66" s="77">
        <f t="shared" si="10"/>
        <v>0</v>
      </c>
      <c r="X66" s="77">
        <f t="shared" si="10"/>
        <v>0</v>
      </c>
      <c r="Y66" s="77">
        <f t="shared" si="10"/>
        <v>0</v>
      </c>
      <c r="Z66" s="77">
        <f t="shared" si="10"/>
        <v>0</v>
      </c>
      <c r="AA66" s="77">
        <f t="shared" si="10"/>
        <v>0</v>
      </c>
      <c r="AB66" s="77">
        <f t="shared" si="10"/>
        <v>0</v>
      </c>
      <c r="AC66" s="77">
        <f t="shared" si="10"/>
        <v>0.13950293059852797</v>
      </c>
      <c r="AD66" s="77">
        <f t="shared" si="10"/>
        <v>0</v>
      </c>
      <c r="AE66" s="86"/>
      <c r="AF66" s="77">
        <v>0.13950293059852795</v>
      </c>
    </row>
    <row r="67" spans="1:32" x14ac:dyDescent="0.2">
      <c r="A67" s="3" t="s">
        <v>12</v>
      </c>
      <c r="B67" s="77">
        <f t="shared" ref="B67:AD67" si="11">B19/(B$9/1000)</f>
        <v>1.0170508525426272E-2</v>
      </c>
      <c r="C67" s="77">
        <f t="shared" si="11"/>
        <v>6.8535617853928464E-3</v>
      </c>
      <c r="D67" s="77">
        <f t="shared" si="11"/>
        <v>0</v>
      </c>
      <c r="E67" s="77">
        <f t="shared" si="11"/>
        <v>7.8877390830743594E-3</v>
      </c>
      <c r="F67" s="77">
        <f t="shared" si="11"/>
        <v>0</v>
      </c>
      <c r="G67" s="77">
        <f t="shared" si="11"/>
        <v>0</v>
      </c>
      <c r="H67" s="77">
        <f t="shared" si="11"/>
        <v>0</v>
      </c>
      <c r="I67" s="77">
        <f t="shared" si="11"/>
        <v>1.8383694273065383E-3</v>
      </c>
      <c r="J67" s="77">
        <f t="shared" si="11"/>
        <v>0</v>
      </c>
      <c r="K67" s="77">
        <f t="shared" si="11"/>
        <v>2.8231692959736283E-2</v>
      </c>
      <c r="L67" s="77">
        <f t="shared" si="11"/>
        <v>4.0632976008167433E-2</v>
      </c>
      <c r="M67" s="77">
        <f t="shared" si="11"/>
        <v>9.3900000000000008E-3</v>
      </c>
      <c r="N67" s="77">
        <f t="shared" si="11"/>
        <v>1.1516295830093913E-2</v>
      </c>
      <c r="O67" s="77">
        <f t="shared" si="11"/>
        <v>0.11377777777777778</v>
      </c>
      <c r="P67" s="77">
        <f t="shared" si="11"/>
        <v>0</v>
      </c>
      <c r="Q67" s="77">
        <f t="shared" si="11"/>
        <v>3.2427231176329084E-2</v>
      </c>
      <c r="R67" s="77">
        <f t="shared" si="11"/>
        <v>4.3188605559384335E-2</v>
      </c>
      <c r="S67" s="77">
        <f t="shared" si="11"/>
        <v>4.8859934853420196E-2</v>
      </c>
      <c r="T67" s="77">
        <f t="shared" si="11"/>
        <v>0</v>
      </c>
      <c r="U67" s="77">
        <f t="shared" si="11"/>
        <v>3.0216472396567183E-2</v>
      </c>
      <c r="V67" s="77">
        <f t="shared" si="11"/>
        <v>0.1024235294117647</v>
      </c>
      <c r="W67" s="77">
        <f t="shared" si="11"/>
        <v>5.2033940603943098E-2</v>
      </c>
      <c r="X67" s="77">
        <f t="shared" si="11"/>
        <v>2.606798579401319E-2</v>
      </c>
      <c r="Y67" s="77">
        <f t="shared" si="11"/>
        <v>1.281894762544256E-2</v>
      </c>
      <c r="Z67" s="77">
        <f t="shared" si="11"/>
        <v>1.4072832086810724E-2</v>
      </c>
      <c r="AA67" s="77">
        <f t="shared" si="11"/>
        <v>1.2025245125662122E-2</v>
      </c>
      <c r="AB67" s="77">
        <f t="shared" si="11"/>
        <v>2.474436144753064E-2</v>
      </c>
      <c r="AC67" s="77">
        <f t="shared" si="11"/>
        <v>0</v>
      </c>
      <c r="AD67" s="77">
        <f t="shared" si="11"/>
        <v>0</v>
      </c>
      <c r="AE67" s="86"/>
      <c r="AF67" s="77">
        <v>1.4278001705531935E-2</v>
      </c>
    </row>
    <row r="68" spans="1:32" x14ac:dyDescent="0.2">
      <c r="A68" s="3" t="s">
        <v>13</v>
      </c>
      <c r="B68" s="77">
        <f t="shared" ref="B68:AD68" si="12">B20/(B$9/1000)</f>
        <v>0</v>
      </c>
      <c r="C68" s="77">
        <f t="shared" si="12"/>
        <v>0</v>
      </c>
      <c r="D68" s="77">
        <f t="shared" si="12"/>
        <v>0</v>
      </c>
      <c r="E68" s="77">
        <f t="shared" si="12"/>
        <v>5.3182968634863683E-4</v>
      </c>
      <c r="F68" s="77">
        <f t="shared" si="12"/>
        <v>0</v>
      </c>
      <c r="G68" s="77">
        <f t="shared" si="12"/>
        <v>0</v>
      </c>
      <c r="H68" s="77">
        <f t="shared" si="12"/>
        <v>0</v>
      </c>
      <c r="I68" s="77">
        <f t="shared" si="12"/>
        <v>4.3563256571244985E-4</v>
      </c>
      <c r="J68" s="77">
        <f t="shared" si="12"/>
        <v>0</v>
      </c>
      <c r="K68" s="77">
        <f t="shared" si="12"/>
        <v>5.8865081233812101E-3</v>
      </c>
      <c r="L68" s="77">
        <f t="shared" si="12"/>
        <v>3.5392206908286539E-3</v>
      </c>
      <c r="M68" s="77">
        <f t="shared" si="12"/>
        <v>0</v>
      </c>
      <c r="N68" s="77">
        <f t="shared" si="12"/>
        <v>2.4804709192551185E-2</v>
      </c>
      <c r="O68" s="77">
        <f t="shared" si="12"/>
        <v>0.54320987654320985</v>
      </c>
      <c r="P68" s="77">
        <f t="shared" si="12"/>
        <v>0</v>
      </c>
      <c r="Q68" s="77">
        <f t="shared" si="12"/>
        <v>3.2074412637318576E-2</v>
      </c>
      <c r="R68" s="77">
        <f t="shared" si="12"/>
        <v>5.7431656328968527E-3</v>
      </c>
      <c r="S68" s="77">
        <f t="shared" si="12"/>
        <v>0</v>
      </c>
      <c r="T68" s="77">
        <f t="shared" si="12"/>
        <v>0</v>
      </c>
      <c r="U68" s="77">
        <f t="shared" si="12"/>
        <v>0</v>
      </c>
      <c r="V68" s="77">
        <f t="shared" si="12"/>
        <v>0</v>
      </c>
      <c r="W68" s="77">
        <f t="shared" si="12"/>
        <v>0</v>
      </c>
      <c r="X68" s="77">
        <f t="shared" si="12"/>
        <v>1.7250126839167934E-2</v>
      </c>
      <c r="Y68" s="77">
        <f t="shared" si="12"/>
        <v>5.7990477353192529E-2</v>
      </c>
      <c r="Z68" s="77">
        <f t="shared" si="12"/>
        <v>8.9485880070081566E-3</v>
      </c>
      <c r="AA68" s="77">
        <f t="shared" si="12"/>
        <v>6.1985799616815053E-3</v>
      </c>
      <c r="AB68" s="77">
        <f t="shared" si="12"/>
        <v>5.0184930016679962E-3</v>
      </c>
      <c r="AC68" s="77">
        <f t="shared" si="12"/>
        <v>2.5923992955374912E-3</v>
      </c>
      <c r="AD68" s="77">
        <f t="shared" si="12"/>
        <v>0</v>
      </c>
      <c r="AE68" s="86"/>
      <c r="AF68" s="77">
        <v>7.8327743228944428E-3</v>
      </c>
    </row>
    <row r="69" spans="1:32" x14ac:dyDescent="0.2">
      <c r="A69" s="3" t="s">
        <v>14</v>
      </c>
      <c r="B69" s="77">
        <f t="shared" ref="B69:AD69" si="13">B21/(B$9/1000)</f>
        <v>0</v>
      </c>
      <c r="C69" s="77">
        <f t="shared" si="13"/>
        <v>0</v>
      </c>
      <c r="D69" s="77">
        <f t="shared" si="13"/>
        <v>0</v>
      </c>
      <c r="E69" s="77">
        <f t="shared" si="13"/>
        <v>0</v>
      </c>
      <c r="F69" s="77">
        <f t="shared" si="13"/>
        <v>0</v>
      </c>
      <c r="G69" s="77">
        <f t="shared" si="13"/>
        <v>0</v>
      </c>
      <c r="H69" s="77">
        <f t="shared" si="13"/>
        <v>0</v>
      </c>
      <c r="I69" s="77">
        <f t="shared" si="13"/>
        <v>0.1163835962557381</v>
      </c>
      <c r="J69" s="77">
        <f t="shared" si="13"/>
        <v>0</v>
      </c>
      <c r="K69" s="77">
        <f t="shared" si="13"/>
        <v>0</v>
      </c>
      <c r="L69" s="77">
        <f t="shared" si="13"/>
        <v>0</v>
      </c>
      <c r="M69" s="77">
        <f t="shared" si="13"/>
        <v>0</v>
      </c>
      <c r="N69" s="77">
        <f t="shared" si="13"/>
        <v>0.23702195401873311</v>
      </c>
      <c r="O69" s="77">
        <f t="shared" si="13"/>
        <v>0</v>
      </c>
      <c r="P69" s="77">
        <f t="shared" si="13"/>
        <v>0</v>
      </c>
      <c r="Q69" s="77">
        <f t="shared" si="13"/>
        <v>0</v>
      </c>
      <c r="R69" s="77">
        <f t="shared" si="13"/>
        <v>0</v>
      </c>
      <c r="S69" s="77">
        <f t="shared" si="13"/>
        <v>1.4657980456026058</v>
      </c>
      <c r="T69" s="77">
        <f t="shared" si="13"/>
        <v>0</v>
      </c>
      <c r="U69" s="77">
        <f t="shared" si="13"/>
        <v>0.64045087741770201</v>
      </c>
      <c r="V69" s="77">
        <f t="shared" si="13"/>
        <v>1.1764705882352942</v>
      </c>
      <c r="W69" s="77">
        <f t="shared" si="13"/>
        <v>0.62390816071874222</v>
      </c>
      <c r="X69" s="77">
        <f t="shared" si="13"/>
        <v>0</v>
      </c>
      <c r="Y69" s="77">
        <f t="shared" si="13"/>
        <v>9.7961176901477237E-2</v>
      </c>
      <c r="Z69" s="77">
        <f t="shared" si="13"/>
        <v>9.7918275842580213E-2</v>
      </c>
      <c r="AA69" s="77">
        <f t="shared" si="13"/>
        <v>0</v>
      </c>
      <c r="AB69" s="77">
        <f t="shared" si="13"/>
        <v>0</v>
      </c>
      <c r="AC69" s="77">
        <f t="shared" si="13"/>
        <v>0.20657484130229223</v>
      </c>
      <c r="AD69" s="77">
        <f t="shared" si="13"/>
        <v>0</v>
      </c>
      <c r="AE69" s="86"/>
      <c r="AF69" s="77">
        <v>0.21732769894658502</v>
      </c>
    </row>
    <row r="70" spans="1:32" x14ac:dyDescent="0.2">
      <c r="A70" s="3" t="s">
        <v>15</v>
      </c>
      <c r="B70" s="77">
        <f t="shared" ref="B70:AD70" si="14">B22/(B$9/1000)</f>
        <v>0</v>
      </c>
      <c r="C70" s="77">
        <f t="shared" si="14"/>
        <v>0</v>
      </c>
      <c r="D70" s="77">
        <f t="shared" si="14"/>
        <v>0</v>
      </c>
      <c r="E70" s="77">
        <f t="shared" si="14"/>
        <v>0</v>
      </c>
      <c r="F70" s="77">
        <f t="shared" si="14"/>
        <v>0</v>
      </c>
      <c r="G70" s="77">
        <f t="shared" si="14"/>
        <v>0</v>
      </c>
      <c r="H70" s="77">
        <f t="shared" si="14"/>
        <v>0</v>
      </c>
      <c r="I70" s="77">
        <f t="shared" si="14"/>
        <v>0</v>
      </c>
      <c r="J70" s="77">
        <f t="shared" si="14"/>
        <v>0</v>
      </c>
      <c r="K70" s="77">
        <f t="shared" si="14"/>
        <v>0</v>
      </c>
      <c r="L70" s="77">
        <f t="shared" si="14"/>
        <v>0</v>
      </c>
      <c r="M70" s="77">
        <f t="shared" si="14"/>
        <v>0</v>
      </c>
      <c r="N70" s="77">
        <f t="shared" si="14"/>
        <v>0</v>
      </c>
      <c r="O70" s="77">
        <f t="shared" si="14"/>
        <v>0</v>
      </c>
      <c r="P70" s="77">
        <f t="shared" si="14"/>
        <v>0</v>
      </c>
      <c r="Q70" s="77">
        <f t="shared" si="14"/>
        <v>0</v>
      </c>
      <c r="R70" s="77">
        <f t="shared" si="14"/>
        <v>0</v>
      </c>
      <c r="S70" s="77">
        <f t="shared" si="14"/>
        <v>0</v>
      </c>
      <c r="T70" s="77">
        <f t="shared" si="14"/>
        <v>0</v>
      </c>
      <c r="U70" s="77">
        <f t="shared" si="14"/>
        <v>0</v>
      </c>
      <c r="V70" s="77">
        <f t="shared" si="14"/>
        <v>0</v>
      </c>
      <c r="W70" s="77">
        <f t="shared" si="14"/>
        <v>0</v>
      </c>
      <c r="X70" s="77">
        <f t="shared" si="14"/>
        <v>0</v>
      </c>
      <c r="Y70" s="77">
        <f t="shared" si="14"/>
        <v>0</v>
      </c>
      <c r="Z70" s="77">
        <f t="shared" si="14"/>
        <v>0</v>
      </c>
      <c r="AA70" s="77">
        <f t="shared" si="14"/>
        <v>0</v>
      </c>
      <c r="AB70" s="77">
        <f t="shared" si="14"/>
        <v>0</v>
      </c>
      <c r="AC70" s="77">
        <f t="shared" si="14"/>
        <v>0</v>
      </c>
      <c r="AD70" s="77">
        <f t="shared" si="14"/>
        <v>0</v>
      </c>
      <c r="AE70" s="86"/>
      <c r="AF70" s="77">
        <v>0</v>
      </c>
    </row>
    <row r="71" spans="1:32" x14ac:dyDescent="0.2">
      <c r="A71" s="3" t="s">
        <v>16</v>
      </c>
      <c r="B71" s="77">
        <f t="shared" ref="B71:AD71" si="15">B23/(B$9/1000)</f>
        <v>0.25001250062503128</v>
      </c>
      <c r="C71" s="77">
        <f t="shared" si="15"/>
        <v>0.20000666688889629</v>
      </c>
      <c r="D71" s="77">
        <f t="shared" si="15"/>
        <v>0</v>
      </c>
      <c r="E71" s="77">
        <f t="shared" si="15"/>
        <v>0</v>
      </c>
      <c r="F71" s="77">
        <f t="shared" si="15"/>
        <v>0</v>
      </c>
      <c r="G71" s="77">
        <f t="shared" si="15"/>
        <v>0</v>
      </c>
      <c r="H71" s="77">
        <f t="shared" si="15"/>
        <v>0</v>
      </c>
      <c r="I71" s="77">
        <f t="shared" si="15"/>
        <v>0</v>
      </c>
      <c r="J71" s="77">
        <f t="shared" si="15"/>
        <v>0</v>
      </c>
      <c r="K71" s="77">
        <f t="shared" si="15"/>
        <v>0</v>
      </c>
      <c r="L71" s="77">
        <f t="shared" si="15"/>
        <v>0</v>
      </c>
      <c r="M71" s="77">
        <f t="shared" si="15"/>
        <v>0.25</v>
      </c>
      <c r="N71" s="77">
        <f t="shared" si="15"/>
        <v>0</v>
      </c>
      <c r="O71" s="77">
        <f t="shared" si="15"/>
        <v>0</v>
      </c>
      <c r="P71" s="77">
        <f t="shared" si="15"/>
        <v>0</v>
      </c>
      <c r="Q71" s="77">
        <f t="shared" si="15"/>
        <v>0</v>
      </c>
      <c r="R71" s="77">
        <f t="shared" si="15"/>
        <v>0</v>
      </c>
      <c r="S71" s="77">
        <f t="shared" si="15"/>
        <v>0</v>
      </c>
      <c r="T71" s="77">
        <f t="shared" si="15"/>
        <v>0.18196610371813157</v>
      </c>
      <c r="U71" s="77">
        <f t="shared" si="15"/>
        <v>0</v>
      </c>
      <c r="V71" s="77">
        <f t="shared" si="15"/>
        <v>0</v>
      </c>
      <c r="W71" s="77">
        <f t="shared" si="15"/>
        <v>0</v>
      </c>
      <c r="X71" s="77">
        <f t="shared" si="15"/>
        <v>0</v>
      </c>
      <c r="Y71" s="77">
        <f t="shared" si="15"/>
        <v>0</v>
      </c>
      <c r="Z71" s="77">
        <f t="shared" si="15"/>
        <v>0</v>
      </c>
      <c r="AA71" s="77">
        <f t="shared" si="15"/>
        <v>0</v>
      </c>
      <c r="AB71" s="77">
        <f t="shared" si="15"/>
        <v>0</v>
      </c>
      <c r="AC71" s="77">
        <f t="shared" si="15"/>
        <v>0</v>
      </c>
      <c r="AD71" s="77">
        <f t="shared" si="15"/>
        <v>0</v>
      </c>
      <c r="AE71" s="86"/>
      <c r="AF71" s="77">
        <v>0.22715873363083777</v>
      </c>
    </row>
    <row r="72" spans="1:32" x14ac:dyDescent="0.2">
      <c r="A72" s="3" t="s">
        <v>26</v>
      </c>
      <c r="B72" s="77">
        <f t="shared" ref="B72:AD72" si="16">B24/(B$9/1000)</f>
        <v>0</v>
      </c>
      <c r="C72" s="77">
        <f t="shared" si="16"/>
        <v>0</v>
      </c>
      <c r="D72" s="77">
        <f t="shared" si="16"/>
        <v>0.38323353293413176</v>
      </c>
      <c r="E72" s="77">
        <f t="shared" si="16"/>
        <v>0</v>
      </c>
      <c r="F72" s="77">
        <f t="shared" si="16"/>
        <v>0.58181818181818179</v>
      </c>
      <c r="G72" s="77">
        <f t="shared" si="16"/>
        <v>0.68891280947255118</v>
      </c>
      <c r="H72" s="77">
        <f t="shared" si="16"/>
        <v>0</v>
      </c>
      <c r="I72" s="77">
        <f t="shared" si="16"/>
        <v>0</v>
      </c>
      <c r="J72" s="77">
        <f t="shared" si="16"/>
        <v>0.51240992794235385</v>
      </c>
      <c r="K72" s="77">
        <f t="shared" si="16"/>
        <v>0</v>
      </c>
      <c r="L72" s="77">
        <f t="shared" si="16"/>
        <v>0</v>
      </c>
      <c r="M72" s="77">
        <f t="shared" si="16"/>
        <v>0</v>
      </c>
      <c r="N72" s="77">
        <f t="shared" si="16"/>
        <v>0</v>
      </c>
      <c r="O72" s="77">
        <f t="shared" si="16"/>
        <v>0</v>
      </c>
      <c r="P72" s="77">
        <f t="shared" si="16"/>
        <v>3.6363636363636362E-2</v>
      </c>
      <c r="Q72" s="77">
        <f t="shared" si="16"/>
        <v>0</v>
      </c>
      <c r="R72" s="77">
        <f t="shared" si="16"/>
        <v>0</v>
      </c>
      <c r="S72" s="77">
        <f t="shared" si="16"/>
        <v>8.143322475570032E-2</v>
      </c>
      <c r="T72" s="77">
        <f t="shared" si="16"/>
        <v>0</v>
      </c>
      <c r="U72" s="77">
        <f t="shared" si="16"/>
        <v>6.4045087741770201E-2</v>
      </c>
      <c r="V72" s="77">
        <f t="shared" si="16"/>
        <v>0.11764705882352941</v>
      </c>
      <c r="W72" s="77">
        <f t="shared" si="16"/>
        <v>3.7434489643124534E-2</v>
      </c>
      <c r="X72" s="77">
        <f t="shared" si="16"/>
        <v>0</v>
      </c>
      <c r="Y72" s="77">
        <f t="shared" si="16"/>
        <v>0</v>
      </c>
      <c r="Z72" s="77">
        <f t="shared" si="16"/>
        <v>0</v>
      </c>
      <c r="AA72" s="77">
        <f t="shared" si="16"/>
        <v>0</v>
      </c>
      <c r="AB72" s="77">
        <f t="shared" si="16"/>
        <v>0</v>
      </c>
      <c r="AC72" s="77">
        <f t="shared" si="16"/>
        <v>6.8491394862285095E-3</v>
      </c>
      <c r="AD72" s="77">
        <f t="shared" si="16"/>
        <v>0.66321243523316065</v>
      </c>
      <c r="AE72" s="86"/>
      <c r="AF72" s="77">
        <v>2.1282362759072297E-2</v>
      </c>
    </row>
    <row r="73" spans="1:32" x14ac:dyDescent="0.2">
      <c r="A73" s="3" t="s">
        <v>27</v>
      </c>
      <c r="B73" s="77">
        <f t="shared" ref="B73:AD73" si="17">B25/(B$9/1000)</f>
        <v>0</v>
      </c>
      <c r="C73" s="77">
        <f t="shared" si="17"/>
        <v>0</v>
      </c>
      <c r="D73" s="77">
        <f t="shared" si="17"/>
        <v>0.17964071856287425</v>
      </c>
      <c r="E73" s="77">
        <f t="shared" si="17"/>
        <v>0</v>
      </c>
      <c r="F73" s="77">
        <f t="shared" si="17"/>
        <v>0.27272727272727271</v>
      </c>
      <c r="G73" s="77">
        <f t="shared" si="17"/>
        <v>0.32292787944025836</v>
      </c>
      <c r="H73" s="77">
        <f t="shared" si="17"/>
        <v>0.53467000835421885</v>
      </c>
      <c r="I73" s="77">
        <f t="shared" si="17"/>
        <v>0</v>
      </c>
      <c r="J73" s="77">
        <f t="shared" si="17"/>
        <v>0.24019215372297839</v>
      </c>
      <c r="K73" s="77">
        <f t="shared" si="17"/>
        <v>0</v>
      </c>
      <c r="L73" s="77">
        <f t="shared" si="17"/>
        <v>0</v>
      </c>
      <c r="M73" s="77">
        <f t="shared" si="17"/>
        <v>0</v>
      </c>
      <c r="N73" s="77">
        <f t="shared" si="17"/>
        <v>0</v>
      </c>
      <c r="O73" s="77">
        <f t="shared" si="17"/>
        <v>0</v>
      </c>
      <c r="P73" s="77">
        <f t="shared" si="17"/>
        <v>0.13636363636363635</v>
      </c>
      <c r="Q73" s="77">
        <f t="shared" si="17"/>
        <v>0</v>
      </c>
      <c r="R73" s="77">
        <f t="shared" si="17"/>
        <v>0</v>
      </c>
      <c r="S73" s="77">
        <f t="shared" si="17"/>
        <v>8.143322475570032E-2</v>
      </c>
      <c r="T73" s="77">
        <f t="shared" si="17"/>
        <v>0</v>
      </c>
      <c r="U73" s="77">
        <f t="shared" si="17"/>
        <v>7.9736134238503911E-2</v>
      </c>
      <c r="V73" s="77">
        <f t="shared" si="17"/>
        <v>0.28235294117647058</v>
      </c>
      <c r="W73" s="77">
        <f t="shared" si="17"/>
        <v>0.12727726478662341</v>
      </c>
      <c r="X73" s="77">
        <f t="shared" si="17"/>
        <v>0</v>
      </c>
      <c r="Y73" s="77">
        <f t="shared" si="17"/>
        <v>0</v>
      </c>
      <c r="Z73" s="77">
        <f t="shared" si="17"/>
        <v>0</v>
      </c>
      <c r="AA73" s="77">
        <f t="shared" si="17"/>
        <v>0</v>
      </c>
      <c r="AB73" s="77">
        <f t="shared" si="17"/>
        <v>0</v>
      </c>
      <c r="AC73" s="77">
        <f t="shared" si="17"/>
        <v>6.8491394862285095E-3</v>
      </c>
      <c r="AD73" s="77">
        <f t="shared" si="17"/>
        <v>0.31088082901554404</v>
      </c>
      <c r="AE73" s="86"/>
      <c r="AF73" s="77">
        <v>2.4354823293199514E-2</v>
      </c>
    </row>
    <row r="74" spans="1:32" x14ac:dyDescent="0.2">
      <c r="A74" s="3" t="s">
        <v>17</v>
      </c>
      <c r="B74" s="77">
        <f t="shared" ref="B74:AD74" si="18">B26/(B$9/1000)</f>
        <v>0</v>
      </c>
      <c r="C74" s="77">
        <f t="shared" si="18"/>
        <v>0</v>
      </c>
      <c r="D74" s="77">
        <f t="shared" si="18"/>
        <v>0</v>
      </c>
      <c r="E74" s="77">
        <f t="shared" si="18"/>
        <v>0</v>
      </c>
      <c r="F74" s="77">
        <f t="shared" si="18"/>
        <v>0</v>
      </c>
      <c r="G74" s="77">
        <f t="shared" si="18"/>
        <v>0</v>
      </c>
      <c r="H74" s="77">
        <f t="shared" si="18"/>
        <v>0.25062656641604009</v>
      </c>
      <c r="I74" s="77">
        <f t="shared" si="18"/>
        <v>0</v>
      </c>
      <c r="J74" s="77">
        <f t="shared" si="18"/>
        <v>0</v>
      </c>
      <c r="K74" s="77">
        <f t="shared" si="18"/>
        <v>0</v>
      </c>
      <c r="L74" s="77">
        <f t="shared" si="18"/>
        <v>0</v>
      </c>
      <c r="M74" s="77">
        <f t="shared" si="18"/>
        <v>0</v>
      </c>
      <c r="N74" s="77">
        <f t="shared" si="18"/>
        <v>0</v>
      </c>
      <c r="O74" s="77">
        <f t="shared" si="18"/>
        <v>0.13827160493827159</v>
      </c>
      <c r="P74" s="77">
        <f t="shared" si="18"/>
        <v>0</v>
      </c>
      <c r="Q74" s="77">
        <f t="shared" si="18"/>
        <v>0</v>
      </c>
      <c r="R74" s="77">
        <f t="shared" si="18"/>
        <v>1.722949689869056E-2</v>
      </c>
      <c r="S74" s="77">
        <f t="shared" si="18"/>
        <v>0</v>
      </c>
      <c r="T74" s="77">
        <f t="shared" si="18"/>
        <v>0</v>
      </c>
      <c r="U74" s="77">
        <f t="shared" si="18"/>
        <v>0</v>
      </c>
      <c r="V74" s="77">
        <f t="shared" si="18"/>
        <v>0</v>
      </c>
      <c r="W74" s="77">
        <f t="shared" si="18"/>
        <v>0</v>
      </c>
      <c r="X74" s="77">
        <f t="shared" si="18"/>
        <v>0</v>
      </c>
      <c r="Y74" s="77">
        <f t="shared" si="18"/>
        <v>0</v>
      </c>
      <c r="Z74" s="77">
        <f t="shared" si="18"/>
        <v>0</v>
      </c>
      <c r="AA74" s="77">
        <f t="shared" si="18"/>
        <v>0</v>
      </c>
      <c r="AB74" s="77">
        <f t="shared" si="18"/>
        <v>0</v>
      </c>
      <c r="AC74" s="77">
        <f t="shared" si="18"/>
        <v>0</v>
      </c>
      <c r="AD74" s="77">
        <f t="shared" si="18"/>
        <v>0</v>
      </c>
      <c r="AE74" s="86"/>
      <c r="AF74" s="77">
        <v>5.4051578031239979E-2</v>
      </c>
    </row>
    <row r="75" spans="1:32" x14ac:dyDescent="0.2">
      <c r="A75" s="3" t="s">
        <v>18</v>
      </c>
      <c r="B75" s="77">
        <f t="shared" ref="B75:AD75" si="19">B27/(B$9/1000)</f>
        <v>0</v>
      </c>
      <c r="C75" s="77">
        <f t="shared" si="19"/>
        <v>0</v>
      </c>
      <c r="D75" s="77">
        <f t="shared" si="19"/>
        <v>0</v>
      </c>
      <c r="E75" s="77">
        <f t="shared" si="19"/>
        <v>0</v>
      </c>
      <c r="F75" s="77">
        <f t="shared" si="19"/>
        <v>0</v>
      </c>
      <c r="G75" s="77">
        <f t="shared" si="19"/>
        <v>0</v>
      </c>
      <c r="H75" s="77">
        <f t="shared" si="19"/>
        <v>0</v>
      </c>
      <c r="I75" s="77">
        <f t="shared" si="19"/>
        <v>0</v>
      </c>
      <c r="J75" s="77">
        <f t="shared" si="19"/>
        <v>0</v>
      </c>
      <c r="K75" s="77">
        <f t="shared" si="19"/>
        <v>0</v>
      </c>
      <c r="L75" s="77">
        <f t="shared" si="19"/>
        <v>0</v>
      </c>
      <c r="M75" s="77">
        <f t="shared" si="19"/>
        <v>0</v>
      </c>
      <c r="N75" s="77">
        <f t="shared" si="19"/>
        <v>4.3192279688521957E-3</v>
      </c>
      <c r="O75" s="77">
        <f t="shared" si="19"/>
        <v>0.39506172839506171</v>
      </c>
      <c r="P75" s="77">
        <f t="shared" si="19"/>
        <v>0</v>
      </c>
      <c r="Q75" s="77">
        <f t="shared" si="19"/>
        <v>0</v>
      </c>
      <c r="R75" s="77">
        <f t="shared" si="19"/>
        <v>4.0202159430277967E-2</v>
      </c>
      <c r="S75" s="77">
        <f t="shared" si="19"/>
        <v>0</v>
      </c>
      <c r="T75" s="77">
        <f t="shared" si="19"/>
        <v>0</v>
      </c>
      <c r="U75" s="77">
        <f t="shared" si="19"/>
        <v>9.6067631612655316E-2</v>
      </c>
      <c r="V75" s="77">
        <f t="shared" si="19"/>
        <v>0</v>
      </c>
      <c r="W75" s="77">
        <f t="shared" si="19"/>
        <v>0</v>
      </c>
      <c r="X75" s="77">
        <f t="shared" si="19"/>
        <v>0</v>
      </c>
      <c r="Y75" s="77">
        <f t="shared" si="19"/>
        <v>0</v>
      </c>
      <c r="Z75" s="77">
        <f t="shared" si="19"/>
        <v>0</v>
      </c>
      <c r="AA75" s="77">
        <f t="shared" si="19"/>
        <v>0</v>
      </c>
      <c r="AB75" s="77">
        <f t="shared" si="19"/>
        <v>0</v>
      </c>
      <c r="AC75" s="77">
        <f t="shared" si="19"/>
        <v>0</v>
      </c>
      <c r="AD75" s="77">
        <f t="shared" si="19"/>
        <v>0</v>
      </c>
      <c r="AE75" s="86"/>
      <c r="AF75" s="77">
        <v>1.8770577880142251E-2</v>
      </c>
    </row>
    <row r="76" spans="1:32" x14ac:dyDescent="0.2">
      <c r="A76" s="3" t="s">
        <v>19</v>
      </c>
      <c r="B76" s="77">
        <f t="shared" ref="B76:AD76" si="20">B28/(B$9/1000)</f>
        <v>9.500475023751187E-2</v>
      </c>
      <c r="C76" s="77">
        <f t="shared" si="20"/>
        <v>6.3335444514817166E-2</v>
      </c>
      <c r="D76" s="77">
        <f t="shared" si="20"/>
        <v>0</v>
      </c>
      <c r="E76" s="77">
        <f t="shared" si="20"/>
        <v>6.0872072533880113E-2</v>
      </c>
      <c r="F76" s="77">
        <f t="shared" si="20"/>
        <v>0</v>
      </c>
      <c r="G76" s="77">
        <f t="shared" si="20"/>
        <v>0</v>
      </c>
      <c r="H76" s="77">
        <f t="shared" si="20"/>
        <v>0</v>
      </c>
      <c r="I76" s="77">
        <f t="shared" si="20"/>
        <v>2.0692546871341366E-2</v>
      </c>
      <c r="J76" s="77">
        <f t="shared" si="20"/>
        <v>0</v>
      </c>
      <c r="K76" s="77">
        <f t="shared" si="20"/>
        <v>0.22368730868848599</v>
      </c>
      <c r="L76" s="77">
        <f t="shared" si="20"/>
        <v>0.32329419771992512</v>
      </c>
      <c r="M76" s="77">
        <f t="shared" si="20"/>
        <v>9.5000000000000001E-2</v>
      </c>
      <c r="N76" s="77">
        <f t="shared" si="20"/>
        <v>2.3447237545197636E-2</v>
      </c>
      <c r="O76" s="77">
        <f t="shared" si="20"/>
        <v>1</v>
      </c>
      <c r="P76" s="77">
        <f t="shared" si="20"/>
        <v>0.17272727272727273</v>
      </c>
      <c r="Q76" s="77">
        <f t="shared" si="20"/>
        <v>0.15235346002726324</v>
      </c>
      <c r="R76" s="77">
        <f t="shared" si="20"/>
        <v>0.10912014702504021</v>
      </c>
      <c r="S76" s="77">
        <f t="shared" si="20"/>
        <v>0.30944625407166126</v>
      </c>
      <c r="T76" s="77">
        <f t="shared" si="20"/>
        <v>0</v>
      </c>
      <c r="U76" s="77">
        <f t="shared" si="20"/>
        <v>0</v>
      </c>
      <c r="V76" s="77">
        <f t="shared" si="20"/>
        <v>0.22352941176470589</v>
      </c>
      <c r="W76" s="77">
        <f t="shared" si="20"/>
        <v>0</v>
      </c>
      <c r="X76" s="77">
        <f t="shared" si="20"/>
        <v>9.6397767630644338E-2</v>
      </c>
      <c r="Y76" s="77">
        <f t="shared" si="20"/>
        <v>0.23196190941277012</v>
      </c>
      <c r="Z76" s="77">
        <f t="shared" si="20"/>
        <v>3.5794352028032626E-2</v>
      </c>
      <c r="AA76" s="77">
        <f t="shared" si="20"/>
        <v>0.21413276231263384</v>
      </c>
      <c r="AB76" s="77">
        <f t="shared" si="20"/>
        <v>0.13779099282036406</v>
      </c>
      <c r="AC76" s="77">
        <f t="shared" si="20"/>
        <v>0</v>
      </c>
      <c r="AD76" s="77">
        <f t="shared" si="20"/>
        <v>0</v>
      </c>
      <c r="AE76" s="86"/>
      <c r="AF76" s="77">
        <v>6.6404901212315126E-2</v>
      </c>
    </row>
    <row r="77" spans="1:32" x14ac:dyDescent="0.2">
      <c r="A77" s="3" t="s">
        <v>28</v>
      </c>
      <c r="B77" s="77">
        <f t="shared" ref="B77:AD77" si="21">B29/(B$9/1000)</f>
        <v>0</v>
      </c>
      <c r="C77" s="77">
        <f t="shared" si="21"/>
        <v>0</v>
      </c>
      <c r="D77" s="77">
        <f t="shared" si="21"/>
        <v>0.25</v>
      </c>
      <c r="E77" s="77">
        <f t="shared" si="21"/>
        <v>0</v>
      </c>
      <c r="F77" s="77">
        <f t="shared" si="21"/>
        <v>0.25</v>
      </c>
      <c r="G77" s="77">
        <f t="shared" si="21"/>
        <v>0.25005382131324005</v>
      </c>
      <c r="H77" s="77">
        <f t="shared" si="21"/>
        <v>0.25004177109440268</v>
      </c>
      <c r="I77" s="77">
        <f t="shared" si="21"/>
        <v>0</v>
      </c>
      <c r="J77" s="77">
        <f t="shared" si="21"/>
        <v>0.25004003202562047</v>
      </c>
      <c r="K77" s="77">
        <f t="shared" si="21"/>
        <v>0</v>
      </c>
      <c r="L77" s="77">
        <f t="shared" si="21"/>
        <v>0</v>
      </c>
      <c r="M77" s="77">
        <f t="shared" si="21"/>
        <v>0</v>
      </c>
      <c r="N77" s="77">
        <f t="shared" si="21"/>
        <v>0</v>
      </c>
      <c r="O77" s="77">
        <f t="shared" si="21"/>
        <v>0</v>
      </c>
      <c r="P77" s="77">
        <f t="shared" si="21"/>
        <v>0</v>
      </c>
      <c r="Q77" s="77">
        <f t="shared" si="21"/>
        <v>0</v>
      </c>
      <c r="R77" s="77">
        <f t="shared" si="21"/>
        <v>0</v>
      </c>
      <c r="S77" s="77">
        <f t="shared" si="21"/>
        <v>0</v>
      </c>
      <c r="T77" s="77">
        <f t="shared" si="21"/>
        <v>0</v>
      </c>
      <c r="U77" s="77">
        <f t="shared" si="21"/>
        <v>0.25641091328295118</v>
      </c>
      <c r="V77" s="77">
        <f t="shared" si="21"/>
        <v>0</v>
      </c>
      <c r="W77" s="77">
        <f t="shared" si="21"/>
        <v>0</v>
      </c>
      <c r="X77" s="77">
        <f t="shared" si="21"/>
        <v>5.0735667174023336E-3</v>
      </c>
      <c r="Y77" s="77">
        <f t="shared" si="21"/>
        <v>0</v>
      </c>
      <c r="Z77" s="77">
        <f t="shared" si="21"/>
        <v>0</v>
      </c>
      <c r="AA77" s="77">
        <f t="shared" si="21"/>
        <v>0</v>
      </c>
      <c r="AB77" s="77">
        <f t="shared" si="21"/>
        <v>0</v>
      </c>
      <c r="AC77" s="77">
        <f t="shared" si="21"/>
        <v>0</v>
      </c>
      <c r="AD77" s="77">
        <f t="shared" si="21"/>
        <v>0.25005181347150257</v>
      </c>
      <c r="AE77" s="86"/>
      <c r="AF77" s="77">
        <v>0.15458985951881157</v>
      </c>
    </row>
    <row r="78" spans="1:32" x14ac:dyDescent="0.2">
      <c r="A78" s="3" t="s">
        <v>29</v>
      </c>
      <c r="B78" s="77">
        <f t="shared" ref="B78:AD78" si="22">B30/(B$9/1000)</f>
        <v>0</v>
      </c>
      <c r="C78" s="77">
        <f t="shared" si="22"/>
        <v>0</v>
      </c>
      <c r="D78" s="77">
        <f t="shared" si="22"/>
        <v>1.5</v>
      </c>
      <c r="E78" s="77">
        <f t="shared" si="22"/>
        <v>0</v>
      </c>
      <c r="F78" s="77">
        <f t="shared" si="22"/>
        <v>1.5</v>
      </c>
      <c r="G78" s="77">
        <f t="shared" si="22"/>
        <v>1.5</v>
      </c>
      <c r="H78" s="77">
        <f t="shared" si="22"/>
        <v>1.5</v>
      </c>
      <c r="I78" s="77">
        <f t="shared" si="22"/>
        <v>0</v>
      </c>
      <c r="J78" s="77">
        <f t="shared" si="22"/>
        <v>1.5</v>
      </c>
      <c r="K78" s="77">
        <f t="shared" si="22"/>
        <v>0</v>
      </c>
      <c r="L78" s="77">
        <f t="shared" si="22"/>
        <v>0</v>
      </c>
      <c r="M78" s="77">
        <f t="shared" si="22"/>
        <v>0</v>
      </c>
      <c r="N78" s="77">
        <f t="shared" si="22"/>
        <v>0</v>
      </c>
      <c r="O78" s="77">
        <f t="shared" si="22"/>
        <v>0</v>
      </c>
      <c r="P78" s="77">
        <f t="shared" si="22"/>
        <v>0</v>
      </c>
      <c r="Q78" s="77">
        <f t="shared" si="22"/>
        <v>0</v>
      </c>
      <c r="R78" s="77">
        <f t="shared" si="22"/>
        <v>0</v>
      </c>
      <c r="S78" s="77">
        <f t="shared" si="22"/>
        <v>0</v>
      </c>
      <c r="T78" s="77">
        <f t="shared" si="22"/>
        <v>5.4548888742102895</v>
      </c>
      <c r="U78" s="77">
        <f t="shared" si="22"/>
        <v>0</v>
      </c>
      <c r="V78" s="77">
        <f t="shared" si="22"/>
        <v>0</v>
      </c>
      <c r="W78" s="77">
        <f t="shared" si="22"/>
        <v>0</v>
      </c>
      <c r="X78" s="77">
        <f t="shared" si="22"/>
        <v>0</v>
      </c>
      <c r="Y78" s="77">
        <f t="shared" si="22"/>
        <v>0</v>
      </c>
      <c r="Z78" s="77">
        <f t="shared" si="22"/>
        <v>0</v>
      </c>
      <c r="AA78" s="77">
        <f t="shared" si="22"/>
        <v>0</v>
      </c>
      <c r="AB78" s="77">
        <f t="shared" si="22"/>
        <v>0</v>
      </c>
      <c r="AC78" s="77">
        <f t="shared" si="22"/>
        <v>0</v>
      </c>
      <c r="AD78" s="77">
        <f t="shared" si="22"/>
        <v>1.5</v>
      </c>
      <c r="AE78" s="86"/>
      <c r="AF78" s="77">
        <v>2.0295145909801771</v>
      </c>
    </row>
    <row r="79" spans="1:32" x14ac:dyDescent="0.2">
      <c r="A79" s="3" t="s">
        <v>48</v>
      </c>
      <c r="B79" s="77">
        <f t="shared" ref="B79:AD79" si="23">B31/(B$9/1000)</f>
        <v>3.000150007500375E-2</v>
      </c>
      <c r="C79" s="77">
        <f t="shared" si="23"/>
        <v>0</v>
      </c>
      <c r="D79" s="77">
        <f t="shared" si="23"/>
        <v>0</v>
      </c>
      <c r="E79" s="77">
        <f t="shared" si="23"/>
        <v>0</v>
      </c>
      <c r="F79" s="77">
        <f t="shared" si="23"/>
        <v>0</v>
      </c>
      <c r="G79" s="77">
        <f t="shared" si="23"/>
        <v>0</v>
      </c>
      <c r="H79" s="77">
        <f t="shared" si="23"/>
        <v>0</v>
      </c>
      <c r="I79" s="77">
        <f t="shared" si="23"/>
        <v>0</v>
      </c>
      <c r="J79" s="77">
        <f t="shared" si="23"/>
        <v>0</v>
      </c>
      <c r="K79" s="77">
        <f t="shared" si="23"/>
        <v>0</v>
      </c>
      <c r="L79" s="77">
        <f t="shared" si="23"/>
        <v>0</v>
      </c>
      <c r="M79" s="77">
        <f t="shared" si="23"/>
        <v>0.03</v>
      </c>
      <c r="N79" s="77">
        <f t="shared" si="23"/>
        <v>0</v>
      </c>
      <c r="O79" s="77">
        <f t="shared" si="23"/>
        <v>0</v>
      </c>
      <c r="P79" s="77">
        <f t="shared" si="23"/>
        <v>0</v>
      </c>
      <c r="Q79" s="77">
        <f t="shared" si="23"/>
        <v>0</v>
      </c>
      <c r="R79" s="77">
        <f t="shared" si="23"/>
        <v>0</v>
      </c>
      <c r="S79" s="77">
        <f t="shared" si="23"/>
        <v>0</v>
      </c>
      <c r="T79" s="77">
        <f t="shared" si="23"/>
        <v>0</v>
      </c>
      <c r="U79" s="77">
        <f t="shared" si="23"/>
        <v>0</v>
      </c>
      <c r="V79" s="77">
        <f t="shared" si="23"/>
        <v>0</v>
      </c>
      <c r="W79" s="77">
        <f t="shared" si="23"/>
        <v>0</v>
      </c>
      <c r="X79" s="77">
        <f t="shared" si="23"/>
        <v>0</v>
      </c>
      <c r="Y79" s="77">
        <f t="shared" si="23"/>
        <v>0</v>
      </c>
      <c r="Z79" s="77">
        <f t="shared" si="23"/>
        <v>0</v>
      </c>
      <c r="AA79" s="77">
        <f t="shared" si="23"/>
        <v>0</v>
      </c>
      <c r="AB79" s="77">
        <f t="shared" si="23"/>
        <v>0</v>
      </c>
      <c r="AC79" s="77">
        <f t="shared" si="23"/>
        <v>0</v>
      </c>
      <c r="AD79" s="77">
        <f t="shared" si="23"/>
        <v>0</v>
      </c>
      <c r="AE79" s="86"/>
      <c r="AF79" s="77">
        <v>3.000075001875047E-2</v>
      </c>
    </row>
    <row r="80" spans="1:32" x14ac:dyDescent="0.2">
      <c r="A80" s="3" t="s">
        <v>30</v>
      </c>
      <c r="B80" s="77">
        <f t="shared" ref="B80:AD80" si="24">B32/(B$9/1000)</f>
        <v>0.20001000050002501</v>
      </c>
      <c r="C80" s="77">
        <f t="shared" si="24"/>
        <v>0</v>
      </c>
      <c r="D80" s="77">
        <f t="shared" si="24"/>
        <v>0</v>
      </c>
      <c r="E80" s="77">
        <f t="shared" si="24"/>
        <v>0</v>
      </c>
      <c r="F80" s="77">
        <f t="shared" si="24"/>
        <v>0</v>
      </c>
      <c r="G80" s="77">
        <f t="shared" si="24"/>
        <v>0</v>
      </c>
      <c r="H80" s="77">
        <f t="shared" si="24"/>
        <v>0</v>
      </c>
      <c r="I80" s="77">
        <f t="shared" si="24"/>
        <v>0</v>
      </c>
      <c r="J80" s="77">
        <f t="shared" si="24"/>
        <v>0</v>
      </c>
      <c r="K80" s="77">
        <f t="shared" si="24"/>
        <v>0</v>
      </c>
      <c r="L80" s="77">
        <f t="shared" si="24"/>
        <v>0</v>
      </c>
      <c r="M80" s="77">
        <f t="shared" si="24"/>
        <v>0</v>
      </c>
      <c r="N80" s="77">
        <f t="shared" si="24"/>
        <v>0</v>
      </c>
      <c r="O80" s="77">
        <f t="shared" si="24"/>
        <v>0</v>
      </c>
      <c r="P80" s="77">
        <f t="shared" si="24"/>
        <v>0</v>
      </c>
      <c r="Q80" s="77">
        <f t="shared" si="24"/>
        <v>0</v>
      </c>
      <c r="R80" s="77">
        <f t="shared" si="24"/>
        <v>0</v>
      </c>
      <c r="S80" s="77">
        <f t="shared" si="24"/>
        <v>0</v>
      </c>
      <c r="T80" s="77">
        <f t="shared" si="24"/>
        <v>0</v>
      </c>
      <c r="U80" s="77">
        <f t="shared" si="24"/>
        <v>0</v>
      </c>
      <c r="V80" s="77">
        <f t="shared" si="24"/>
        <v>0</v>
      </c>
      <c r="W80" s="77">
        <f t="shared" si="24"/>
        <v>0</v>
      </c>
      <c r="X80" s="77">
        <f t="shared" si="24"/>
        <v>0</v>
      </c>
      <c r="Y80" s="77">
        <f t="shared" si="24"/>
        <v>0</v>
      </c>
      <c r="Z80" s="77">
        <f t="shared" si="24"/>
        <v>0</v>
      </c>
      <c r="AA80" s="77">
        <f t="shared" si="24"/>
        <v>0</v>
      </c>
      <c r="AB80" s="77">
        <f t="shared" si="24"/>
        <v>0</v>
      </c>
      <c r="AC80" s="77">
        <f t="shared" si="24"/>
        <v>0</v>
      </c>
      <c r="AD80" s="77">
        <f t="shared" si="24"/>
        <v>0</v>
      </c>
      <c r="AE80" s="86"/>
      <c r="AF80" s="77">
        <v>0.20001000050002499</v>
      </c>
    </row>
    <row r="81" spans="1:62" x14ac:dyDescent="0.2">
      <c r="A81" s="3" t="s">
        <v>50</v>
      </c>
      <c r="B81" s="77">
        <f t="shared" ref="B81:AD81" si="25">B33/(B$9/1000)</f>
        <v>0</v>
      </c>
      <c r="C81" s="77">
        <f t="shared" si="25"/>
        <v>0</v>
      </c>
      <c r="D81" s="77">
        <f t="shared" si="25"/>
        <v>0</v>
      </c>
      <c r="E81" s="77">
        <f t="shared" si="25"/>
        <v>0</v>
      </c>
      <c r="F81" s="77">
        <f t="shared" si="25"/>
        <v>0</v>
      </c>
      <c r="G81" s="77">
        <f t="shared" si="25"/>
        <v>0</v>
      </c>
      <c r="H81" s="77">
        <f t="shared" si="25"/>
        <v>0</v>
      </c>
      <c r="I81" s="77">
        <f t="shared" si="25"/>
        <v>0</v>
      </c>
      <c r="J81" s="77">
        <f t="shared" si="25"/>
        <v>0</v>
      </c>
      <c r="K81" s="77">
        <f t="shared" si="25"/>
        <v>0</v>
      </c>
      <c r="L81" s="77">
        <f t="shared" si="25"/>
        <v>0</v>
      </c>
      <c r="M81" s="77">
        <f t="shared" si="25"/>
        <v>0</v>
      </c>
      <c r="N81" s="77">
        <f t="shared" si="25"/>
        <v>0</v>
      </c>
      <c r="O81" s="77">
        <f t="shared" si="25"/>
        <v>0</v>
      </c>
      <c r="P81" s="77">
        <f t="shared" si="25"/>
        <v>0</v>
      </c>
      <c r="Q81" s="77">
        <f t="shared" si="25"/>
        <v>0</v>
      </c>
      <c r="R81" s="77">
        <f t="shared" si="25"/>
        <v>0</v>
      </c>
      <c r="S81" s="77">
        <f t="shared" si="25"/>
        <v>0</v>
      </c>
      <c r="T81" s="77">
        <f t="shared" si="25"/>
        <v>0</v>
      </c>
      <c r="U81" s="77">
        <f t="shared" si="25"/>
        <v>0</v>
      </c>
      <c r="V81" s="77">
        <f t="shared" si="25"/>
        <v>0</v>
      </c>
      <c r="W81" s="77">
        <f t="shared" si="25"/>
        <v>0</v>
      </c>
      <c r="X81" s="77">
        <f t="shared" si="25"/>
        <v>0</v>
      </c>
      <c r="Y81" s="77">
        <f t="shared" si="25"/>
        <v>0</v>
      </c>
      <c r="Z81" s="77">
        <f t="shared" si="25"/>
        <v>0</v>
      </c>
      <c r="AA81" s="77">
        <f t="shared" si="25"/>
        <v>0</v>
      </c>
      <c r="AB81" s="77">
        <f t="shared" si="25"/>
        <v>0</v>
      </c>
      <c r="AC81" s="77">
        <f t="shared" si="25"/>
        <v>0</v>
      </c>
      <c r="AD81" s="77">
        <f t="shared" si="25"/>
        <v>0</v>
      </c>
      <c r="AE81" s="86"/>
      <c r="AF81" s="77">
        <v>0</v>
      </c>
    </row>
    <row r="82" spans="1:62" x14ac:dyDescent="0.2">
      <c r="A82" s="3" t="s">
        <v>49</v>
      </c>
      <c r="B82" s="77">
        <f t="shared" ref="B82:AD82" si="26">B34/(B$9/1000)</f>
        <v>0</v>
      </c>
      <c r="C82" s="77">
        <f t="shared" si="26"/>
        <v>0</v>
      </c>
      <c r="D82" s="77">
        <f t="shared" si="26"/>
        <v>0</v>
      </c>
      <c r="E82" s="77">
        <f t="shared" si="26"/>
        <v>0</v>
      </c>
      <c r="F82" s="77">
        <f t="shared" si="26"/>
        <v>0</v>
      </c>
      <c r="G82" s="77">
        <f t="shared" si="26"/>
        <v>0</v>
      </c>
      <c r="H82" s="77">
        <f t="shared" si="26"/>
        <v>0</v>
      </c>
      <c r="I82" s="77">
        <f t="shared" si="26"/>
        <v>0</v>
      </c>
      <c r="J82" s="77">
        <f t="shared" si="26"/>
        <v>0</v>
      </c>
      <c r="K82" s="77">
        <f t="shared" si="26"/>
        <v>0</v>
      </c>
      <c r="L82" s="77">
        <f t="shared" si="26"/>
        <v>0</v>
      </c>
      <c r="M82" s="77">
        <f t="shared" si="26"/>
        <v>0</v>
      </c>
      <c r="N82" s="77">
        <f t="shared" si="26"/>
        <v>0</v>
      </c>
      <c r="O82" s="77">
        <f t="shared" si="26"/>
        <v>0</v>
      </c>
      <c r="P82" s="77">
        <f t="shared" si="26"/>
        <v>0</v>
      </c>
      <c r="Q82" s="77">
        <f t="shared" si="26"/>
        <v>0</v>
      </c>
      <c r="R82" s="77">
        <f t="shared" si="26"/>
        <v>0</v>
      </c>
      <c r="S82" s="77">
        <f t="shared" si="26"/>
        <v>0</v>
      </c>
      <c r="T82" s="77">
        <f t="shared" si="26"/>
        <v>0</v>
      </c>
      <c r="U82" s="77">
        <f t="shared" si="26"/>
        <v>0</v>
      </c>
      <c r="V82" s="77">
        <f t="shared" si="26"/>
        <v>0</v>
      </c>
      <c r="W82" s="77">
        <f t="shared" si="26"/>
        <v>0</v>
      </c>
      <c r="X82" s="77">
        <f t="shared" si="26"/>
        <v>0</v>
      </c>
      <c r="Y82" s="77">
        <f t="shared" si="26"/>
        <v>0</v>
      </c>
      <c r="Z82" s="77">
        <f t="shared" si="26"/>
        <v>0</v>
      </c>
      <c r="AA82" s="77">
        <f t="shared" si="26"/>
        <v>0</v>
      </c>
      <c r="AB82" s="77">
        <f t="shared" si="26"/>
        <v>0</v>
      </c>
      <c r="AC82" s="77">
        <f t="shared" si="26"/>
        <v>0</v>
      </c>
      <c r="AD82" s="77">
        <f t="shared" si="26"/>
        <v>0</v>
      </c>
      <c r="AE82" s="86"/>
      <c r="AF82" s="77">
        <v>0</v>
      </c>
    </row>
    <row r="83" spans="1:62" s="47" customFormat="1" ht="13.5" thickBot="1" x14ac:dyDescent="0.25">
      <c r="A83" s="10" t="s">
        <v>20</v>
      </c>
      <c r="B83" s="80">
        <f t="shared" ref="B83:AD83" si="27">B35/(B$9/1000)</f>
        <v>0</v>
      </c>
      <c r="C83" s="80">
        <f t="shared" si="27"/>
        <v>0</v>
      </c>
      <c r="D83" s="80">
        <f t="shared" si="27"/>
        <v>1.225868263473054</v>
      </c>
      <c r="E83" s="80">
        <f t="shared" si="27"/>
        <v>1.6422644410982602E-2</v>
      </c>
      <c r="F83" s="80">
        <f t="shared" si="27"/>
        <v>1.4443636363636363</v>
      </c>
      <c r="G83" s="80">
        <f t="shared" si="27"/>
        <v>1.5382131324004307</v>
      </c>
      <c r="H83" s="80">
        <f t="shared" si="27"/>
        <v>1.3680868838763576</v>
      </c>
      <c r="I83" s="80">
        <f t="shared" si="27"/>
        <v>1.3613517678514057E-3</v>
      </c>
      <c r="J83" s="80">
        <f t="shared" si="27"/>
        <v>1.3604483586869496</v>
      </c>
      <c r="K83" s="80">
        <f t="shared" si="27"/>
        <v>7.485283729691547E-2</v>
      </c>
      <c r="L83" s="80">
        <f t="shared" si="27"/>
        <v>5.3666836821507573E-2</v>
      </c>
      <c r="M83" s="80">
        <f t="shared" si="27"/>
        <v>0</v>
      </c>
      <c r="N83" s="80">
        <f t="shared" si="27"/>
        <v>7.2966569175521079E-2</v>
      </c>
      <c r="O83" s="80">
        <f t="shared" si="27"/>
        <v>0.11358024691358025</v>
      </c>
      <c r="P83" s="80">
        <f t="shared" si="27"/>
        <v>2.4909090909090907</v>
      </c>
      <c r="Q83" s="80">
        <f t="shared" si="27"/>
        <v>3.2223398284018923</v>
      </c>
      <c r="R83" s="80">
        <f t="shared" si="27"/>
        <v>3.4458993797381117E-3</v>
      </c>
      <c r="S83" s="80">
        <f t="shared" si="27"/>
        <v>0</v>
      </c>
      <c r="T83" s="80">
        <f t="shared" si="27"/>
        <v>0</v>
      </c>
      <c r="U83" s="80">
        <f t="shared" si="27"/>
        <v>0</v>
      </c>
      <c r="V83" s="77">
        <f t="shared" si="27"/>
        <v>1</v>
      </c>
      <c r="W83" s="77">
        <f t="shared" si="27"/>
        <v>1.0623908160718742</v>
      </c>
      <c r="X83" s="77">
        <f t="shared" si="27"/>
        <v>0</v>
      </c>
      <c r="Y83" s="77">
        <f t="shared" si="27"/>
        <v>0.10223415944329142</v>
      </c>
      <c r="Z83" s="77">
        <f t="shared" si="27"/>
        <v>0.10396940524858235</v>
      </c>
      <c r="AA83" s="77">
        <f t="shared" si="27"/>
        <v>0.12344190240054097</v>
      </c>
      <c r="AB83" s="77">
        <f t="shared" si="27"/>
        <v>0.20536659656247733</v>
      </c>
      <c r="AC83" s="77">
        <f t="shared" si="27"/>
        <v>0.1045521142572782</v>
      </c>
      <c r="AD83" s="80">
        <f t="shared" si="27"/>
        <v>1.5181347150259068</v>
      </c>
      <c r="AE83" s="212"/>
      <c r="AF83" s="80">
        <v>0.17317844278489317</v>
      </c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</row>
    <row r="84" spans="1:62" ht="15" x14ac:dyDescent="0.25">
      <c r="A84" s="95" t="s">
        <v>54</v>
      </c>
      <c r="B84" s="138" t="s">
        <v>53</v>
      </c>
      <c r="C84" s="138"/>
      <c r="D84" s="106" t="s">
        <v>53</v>
      </c>
      <c r="E84" s="106" t="s">
        <v>53</v>
      </c>
      <c r="F84" s="106" t="s">
        <v>53</v>
      </c>
      <c r="G84" s="106" t="s">
        <v>53</v>
      </c>
      <c r="H84" s="106" t="s">
        <v>53</v>
      </c>
      <c r="I84" s="106" t="s">
        <v>53</v>
      </c>
      <c r="J84" s="106" t="s">
        <v>53</v>
      </c>
      <c r="K84" s="106" t="s">
        <v>53</v>
      </c>
      <c r="L84" s="106" t="s">
        <v>53</v>
      </c>
      <c r="M84" s="106" t="s">
        <v>53</v>
      </c>
      <c r="N84" s="106" t="s">
        <v>53</v>
      </c>
      <c r="O84" s="106" t="s">
        <v>53</v>
      </c>
      <c r="P84" s="106"/>
      <c r="Q84" s="106"/>
      <c r="R84" s="106" t="s">
        <v>53</v>
      </c>
      <c r="S84" s="106" t="s">
        <v>53</v>
      </c>
      <c r="T84" s="106" t="s">
        <v>53</v>
      </c>
      <c r="U84" s="106" t="s">
        <v>53</v>
      </c>
      <c r="V84" s="106" t="s">
        <v>53</v>
      </c>
      <c r="W84" s="106"/>
      <c r="X84" s="106"/>
      <c r="Y84" s="106"/>
      <c r="Z84" s="106"/>
      <c r="AA84" s="106"/>
      <c r="AB84" s="106"/>
      <c r="AC84" s="106"/>
      <c r="AD84" s="106" t="s">
        <v>53</v>
      </c>
      <c r="AE84" s="210"/>
      <c r="AF84" s="106"/>
    </row>
    <row r="85" spans="1:62" x14ac:dyDescent="0.2">
      <c r="A85" s="3" t="s">
        <v>55</v>
      </c>
      <c r="B85" s="82">
        <f t="shared" ref="B85:AD85" si="28">B37/(B$9/1000)</f>
        <v>0.36001800090004499</v>
      </c>
      <c r="C85" s="82">
        <f t="shared" si="28"/>
        <v>0.33001100036667891</v>
      </c>
      <c r="D85" s="82">
        <f t="shared" si="28"/>
        <v>0</v>
      </c>
      <c r="E85" s="82">
        <f t="shared" si="28"/>
        <v>0.19914779098452567</v>
      </c>
      <c r="F85" s="82">
        <f t="shared" si="28"/>
        <v>0</v>
      </c>
      <c r="G85" s="82">
        <f t="shared" si="28"/>
        <v>0</v>
      </c>
      <c r="H85" s="82">
        <f t="shared" si="28"/>
        <v>0</v>
      </c>
      <c r="I85" s="82">
        <f t="shared" si="28"/>
        <v>0.10346273435670683</v>
      </c>
      <c r="J85" s="82">
        <f t="shared" si="28"/>
        <v>0</v>
      </c>
      <c r="K85" s="82">
        <f t="shared" si="28"/>
        <v>0.40028255238992227</v>
      </c>
      <c r="L85" s="82">
        <f t="shared" si="28"/>
        <v>0.20146333163178493</v>
      </c>
      <c r="M85" s="82">
        <f t="shared" si="28"/>
        <v>0.41749999999999998</v>
      </c>
      <c r="N85" s="82">
        <f t="shared" si="28"/>
        <v>0.23447237545197636</v>
      </c>
      <c r="O85" s="82">
        <f t="shared" si="28"/>
        <v>2.2222222222222223</v>
      </c>
      <c r="P85" s="82">
        <f t="shared" si="28"/>
        <v>0</v>
      </c>
      <c r="Q85" s="82">
        <f t="shared" si="28"/>
        <v>0.76176730013631622</v>
      </c>
      <c r="R85" s="82">
        <f t="shared" si="28"/>
        <v>0.63174821961865379</v>
      </c>
      <c r="S85" s="82">
        <f t="shared" si="28"/>
        <v>0.84690553745928343</v>
      </c>
      <c r="T85" s="82">
        <f t="shared" si="28"/>
        <v>0</v>
      </c>
      <c r="U85" s="82">
        <f t="shared" si="28"/>
        <v>0.5994620212629691</v>
      </c>
      <c r="V85" s="82">
        <f t="shared" si="28"/>
        <v>0.8</v>
      </c>
      <c r="W85" s="82">
        <f t="shared" si="28"/>
        <v>0.49912652857499379</v>
      </c>
      <c r="X85" s="82">
        <f t="shared" si="28"/>
        <v>0.29426686960933535</v>
      </c>
      <c r="Y85" s="82">
        <f t="shared" si="28"/>
        <v>0.47351971676230009</v>
      </c>
      <c r="Z85" s="82">
        <f t="shared" si="28"/>
        <v>0.47326538686158887</v>
      </c>
      <c r="AA85" s="82">
        <f t="shared" si="28"/>
        <v>0.32683421616138847</v>
      </c>
      <c r="AB85" s="82">
        <f t="shared" si="28"/>
        <v>0.3481035608093408</v>
      </c>
      <c r="AC85" s="82">
        <f t="shared" si="28"/>
        <v>6.8491394862285102E-2</v>
      </c>
      <c r="AD85" s="82">
        <f t="shared" si="28"/>
        <v>0</v>
      </c>
      <c r="AE85" s="54"/>
      <c r="AF85" s="82">
        <v>0.18851774411688529</v>
      </c>
    </row>
    <row r="86" spans="1:62" x14ac:dyDescent="0.2">
      <c r="A86" s="3" t="s">
        <v>56</v>
      </c>
      <c r="B86" s="77">
        <f t="shared" ref="B86:AD86" si="29">B38/(B$9/1000)</f>
        <v>0</v>
      </c>
      <c r="C86" s="77">
        <f t="shared" si="29"/>
        <v>0</v>
      </c>
      <c r="D86" s="77">
        <f t="shared" si="29"/>
        <v>0</v>
      </c>
      <c r="E86" s="77">
        <f t="shared" si="29"/>
        <v>0.24669208342677731</v>
      </c>
      <c r="F86" s="77">
        <f t="shared" si="29"/>
        <v>0</v>
      </c>
      <c r="G86" s="77">
        <f t="shared" si="29"/>
        <v>0</v>
      </c>
      <c r="H86" s="77">
        <f t="shared" si="29"/>
        <v>0</v>
      </c>
      <c r="I86" s="77">
        <f t="shared" si="29"/>
        <v>0.10498744833670041</v>
      </c>
      <c r="J86" s="77">
        <f t="shared" si="29"/>
        <v>0</v>
      </c>
      <c r="K86" s="77">
        <f t="shared" si="29"/>
        <v>0.36260890040028254</v>
      </c>
      <c r="L86" s="77">
        <f t="shared" si="29"/>
        <v>0.42879019908116384</v>
      </c>
      <c r="M86" s="77">
        <f t="shared" si="29"/>
        <v>0</v>
      </c>
      <c r="N86" s="77">
        <f t="shared" si="29"/>
        <v>0.1551898609208594</v>
      </c>
      <c r="O86" s="77">
        <f t="shared" si="29"/>
        <v>0</v>
      </c>
      <c r="P86" s="77">
        <f t="shared" si="29"/>
        <v>0</v>
      </c>
      <c r="Q86" s="77">
        <f t="shared" si="29"/>
        <v>0</v>
      </c>
      <c r="R86" s="77">
        <f t="shared" si="29"/>
        <v>0</v>
      </c>
      <c r="S86" s="77">
        <f t="shared" si="29"/>
        <v>0</v>
      </c>
      <c r="T86" s="77">
        <f t="shared" si="29"/>
        <v>0</v>
      </c>
      <c r="U86" s="77">
        <f t="shared" si="29"/>
        <v>0.24220571282182657</v>
      </c>
      <c r="V86" s="77">
        <f t="shared" si="29"/>
        <v>0.51764705882352946</v>
      </c>
      <c r="W86" s="82">
        <f t="shared" si="29"/>
        <v>6.2390816071874224E-2</v>
      </c>
      <c r="X86" s="82">
        <f t="shared" si="29"/>
        <v>0.24860476915271434</v>
      </c>
      <c r="Y86" s="82">
        <f t="shared" si="29"/>
        <v>0.19543401294103285</v>
      </c>
      <c r="Z86" s="82">
        <f t="shared" si="29"/>
        <v>0.19534673423635576</v>
      </c>
      <c r="AA86" s="82">
        <f t="shared" si="29"/>
        <v>0.31556407077651299</v>
      </c>
      <c r="AB86" s="82">
        <f t="shared" si="29"/>
        <v>0.43222858800493147</v>
      </c>
      <c r="AC86" s="82">
        <f t="shared" si="29"/>
        <v>0</v>
      </c>
      <c r="AD86" s="77">
        <f t="shared" si="29"/>
        <v>0</v>
      </c>
      <c r="AE86" s="54"/>
      <c r="AF86" s="77">
        <v>0.17527861016637558</v>
      </c>
    </row>
    <row r="87" spans="1:62" ht="13.5" thickBot="1" x14ac:dyDescent="0.25">
      <c r="A87" s="15" t="s">
        <v>57</v>
      </c>
      <c r="B87" s="77">
        <f t="shared" ref="B87:AD87" si="30">B39/(B$9/1000)</f>
        <v>5.5002750137506877E-2</v>
      </c>
      <c r="C87" s="77">
        <f t="shared" si="30"/>
        <v>0</v>
      </c>
      <c r="D87" s="77">
        <f t="shared" si="30"/>
        <v>0</v>
      </c>
      <c r="E87" s="77">
        <f t="shared" si="30"/>
        <v>0.29064812738282125</v>
      </c>
      <c r="F87" s="77">
        <f t="shared" si="30"/>
        <v>0</v>
      </c>
      <c r="G87" s="77">
        <f t="shared" si="30"/>
        <v>0</v>
      </c>
      <c r="H87" s="77">
        <f t="shared" si="30"/>
        <v>0</v>
      </c>
      <c r="I87" s="77">
        <f t="shared" si="30"/>
        <v>6.5344884856867472E-2</v>
      </c>
      <c r="J87" s="77">
        <f t="shared" si="30"/>
        <v>0</v>
      </c>
      <c r="K87" s="77">
        <f t="shared" si="30"/>
        <v>0.44737461737697198</v>
      </c>
      <c r="L87" s="77">
        <f t="shared" si="30"/>
        <v>0.29402756508422667</v>
      </c>
      <c r="M87" s="77">
        <f t="shared" si="30"/>
        <v>0.05</v>
      </c>
      <c r="N87" s="77">
        <f t="shared" si="30"/>
        <v>0.16042846741451014</v>
      </c>
      <c r="O87" s="77">
        <f t="shared" si="30"/>
        <v>1.5802469135802468</v>
      </c>
      <c r="P87" s="77">
        <f t="shared" si="30"/>
        <v>0</v>
      </c>
      <c r="Q87" s="77">
        <f t="shared" si="30"/>
        <v>0.60941384010905297</v>
      </c>
      <c r="R87" s="77">
        <f t="shared" si="30"/>
        <v>0.51688490696071676</v>
      </c>
      <c r="S87" s="77">
        <f t="shared" si="30"/>
        <v>0</v>
      </c>
      <c r="T87" s="77">
        <f t="shared" si="30"/>
        <v>0</v>
      </c>
      <c r="U87" s="77">
        <f t="shared" si="30"/>
        <v>0</v>
      </c>
      <c r="V87" s="77">
        <f t="shared" si="30"/>
        <v>0</v>
      </c>
      <c r="W87" s="82">
        <f t="shared" si="30"/>
        <v>0</v>
      </c>
      <c r="X87" s="82">
        <f t="shared" si="30"/>
        <v>0</v>
      </c>
      <c r="Y87" s="82">
        <f t="shared" si="30"/>
        <v>0</v>
      </c>
      <c r="Z87" s="82">
        <f t="shared" si="30"/>
        <v>0</v>
      </c>
      <c r="AA87" s="82">
        <f t="shared" si="30"/>
        <v>0.39445508847064126</v>
      </c>
      <c r="AB87" s="82">
        <f t="shared" si="30"/>
        <v>0.33359924577561823</v>
      </c>
      <c r="AC87" s="82">
        <f t="shared" si="30"/>
        <v>0.11985994100899892</v>
      </c>
      <c r="AD87" s="77">
        <f t="shared" si="30"/>
        <v>0</v>
      </c>
      <c r="AE87" s="7"/>
      <c r="AF87" s="77">
        <v>0.14470479126094032</v>
      </c>
    </row>
    <row r="88" spans="1:62" s="43" customFormat="1" ht="13.5" thickBot="1" x14ac:dyDescent="0.25">
      <c r="A88" s="83" t="s">
        <v>39</v>
      </c>
      <c r="B88" s="84">
        <f t="shared" ref="B88:AD88" si="31">B40/(B$9/1000)</f>
        <v>2.2430721536076805</v>
      </c>
      <c r="C88" s="84">
        <f t="shared" si="31"/>
        <v>1.7012567085569519</v>
      </c>
      <c r="D88" s="84">
        <f t="shared" si="31"/>
        <v>9.0692814371257491</v>
      </c>
      <c r="E88" s="84">
        <f t="shared" si="31"/>
        <v>1.3890366193573191</v>
      </c>
      <c r="F88" s="84">
        <f t="shared" si="31"/>
        <v>10.361636363636364</v>
      </c>
      <c r="G88" s="84">
        <f t="shared" si="31"/>
        <v>10.991173304628633</v>
      </c>
      <c r="H88" s="84">
        <f t="shared" si="31"/>
        <v>9.9084377610693402</v>
      </c>
      <c r="I88" s="84">
        <f t="shared" si="31"/>
        <v>0.68089370020855911</v>
      </c>
      <c r="J88" s="84">
        <f t="shared" si="31"/>
        <v>8.8398718975180142</v>
      </c>
      <c r="K88" s="84">
        <f t="shared" si="31"/>
        <v>3.5178949846950789</v>
      </c>
      <c r="L88" s="84">
        <f t="shared" si="31"/>
        <v>4.4749361919346606</v>
      </c>
      <c r="M88" s="84">
        <f t="shared" si="31"/>
        <v>2.0947</v>
      </c>
      <c r="N88" s="84">
        <f t="shared" si="31"/>
        <v>1.8512531931435341</v>
      </c>
      <c r="O88" s="84">
        <f t="shared" si="31"/>
        <v>14.427654320987655</v>
      </c>
      <c r="P88" s="84">
        <f t="shared" si="31"/>
        <v>6.0493636363636361</v>
      </c>
      <c r="Q88" s="84">
        <f t="shared" si="31"/>
        <v>7.0956779728971213</v>
      </c>
      <c r="R88" s="84">
        <f t="shared" si="31"/>
        <v>2.7737767057201932</v>
      </c>
      <c r="S88" s="84">
        <f t="shared" si="31"/>
        <v>7.9739413680781759</v>
      </c>
      <c r="T88" s="84">
        <f t="shared" si="31"/>
        <v>14.798302401825191</v>
      </c>
      <c r="U88" s="84">
        <f t="shared" si="31"/>
        <v>3.7664275650057641</v>
      </c>
      <c r="V88" s="84">
        <f t="shared" si="31"/>
        <v>8.6018588235294118</v>
      </c>
      <c r="W88" s="84">
        <f t="shared" si="31"/>
        <v>4.9772772647866237</v>
      </c>
      <c r="X88" s="84">
        <f t="shared" si="31"/>
        <v>2.2284221207508881</v>
      </c>
      <c r="Y88" s="84">
        <f t="shared" si="31"/>
        <v>2.0840190452936151</v>
      </c>
      <c r="Z88" s="84">
        <f t="shared" si="31"/>
        <v>1.8414649309545787</v>
      </c>
      <c r="AA88" s="84">
        <f t="shared" si="31"/>
        <v>2.2727262481686012</v>
      </c>
      <c r="AB88" s="84">
        <f t="shared" si="31"/>
        <v>3.3151932699978244</v>
      </c>
      <c r="AC88" s="84">
        <f t="shared" si="31"/>
        <v>1.6094833973525293</v>
      </c>
      <c r="AD88" s="84">
        <f t="shared" si="31"/>
        <v>10.832953367875648</v>
      </c>
      <c r="AE88" s="87"/>
      <c r="AF88" s="84">
        <v>1.9891046005212845</v>
      </c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</row>
    <row r="89" spans="1:62" ht="15.75" thickBot="1" x14ac:dyDescent="0.3">
      <c r="A89" s="100" t="s">
        <v>40</v>
      </c>
      <c r="B89" s="77">
        <f t="shared" ref="B89:AD89" si="32">B41/(B$9/1000)</f>
        <v>0</v>
      </c>
      <c r="C89" s="77">
        <f t="shared" si="32"/>
        <v>0</v>
      </c>
      <c r="D89" s="77">
        <f t="shared" si="32"/>
        <v>0</v>
      </c>
      <c r="E89" s="77">
        <f t="shared" si="32"/>
        <v>0</v>
      </c>
      <c r="F89" s="77">
        <f t="shared" si="32"/>
        <v>0</v>
      </c>
      <c r="G89" s="77">
        <f t="shared" si="32"/>
        <v>0</v>
      </c>
      <c r="H89" s="77">
        <f t="shared" si="32"/>
        <v>0</v>
      </c>
      <c r="I89" s="77">
        <f t="shared" si="32"/>
        <v>0</v>
      </c>
      <c r="J89" s="77">
        <f t="shared" si="32"/>
        <v>0</v>
      </c>
      <c r="K89" s="77">
        <f t="shared" si="32"/>
        <v>0</v>
      </c>
      <c r="L89" s="77">
        <f t="shared" si="32"/>
        <v>0</v>
      </c>
      <c r="M89" s="77">
        <f t="shared" si="32"/>
        <v>0</v>
      </c>
      <c r="N89" s="77">
        <f t="shared" si="32"/>
        <v>0</v>
      </c>
      <c r="O89" s="77">
        <f t="shared" si="32"/>
        <v>0</v>
      </c>
      <c r="P89" s="77">
        <f t="shared" si="32"/>
        <v>0</v>
      </c>
      <c r="Q89" s="77">
        <f t="shared" si="32"/>
        <v>0</v>
      </c>
      <c r="R89" s="77">
        <f t="shared" si="32"/>
        <v>0</v>
      </c>
      <c r="S89" s="77">
        <f t="shared" si="32"/>
        <v>0</v>
      </c>
      <c r="T89" s="77">
        <f t="shared" si="32"/>
        <v>0</v>
      </c>
      <c r="U89" s="77">
        <f t="shared" si="32"/>
        <v>0</v>
      </c>
      <c r="V89" s="77">
        <f t="shared" si="32"/>
        <v>0</v>
      </c>
      <c r="W89" s="82">
        <f t="shared" si="32"/>
        <v>0</v>
      </c>
      <c r="X89" s="82">
        <f t="shared" si="32"/>
        <v>0</v>
      </c>
      <c r="Y89" s="82">
        <f t="shared" si="32"/>
        <v>0</v>
      </c>
      <c r="Z89" s="82">
        <f t="shared" si="32"/>
        <v>0</v>
      </c>
      <c r="AA89" s="82">
        <f t="shared" si="32"/>
        <v>0</v>
      </c>
      <c r="AB89" s="82">
        <f t="shared" si="32"/>
        <v>0</v>
      </c>
      <c r="AC89" s="82">
        <f t="shared" si="32"/>
        <v>0</v>
      </c>
      <c r="AD89" s="77">
        <f t="shared" si="32"/>
        <v>0</v>
      </c>
      <c r="AE89" s="86"/>
      <c r="AF89" s="77">
        <v>0</v>
      </c>
    </row>
    <row r="90" spans="1:62" s="47" customFormat="1" ht="13.5" thickBot="1" x14ac:dyDescent="0.25">
      <c r="A90" s="83" t="s">
        <v>41</v>
      </c>
      <c r="B90" s="84">
        <f t="shared" ref="B90:AD90" si="33">B42/(B$9/1000)</f>
        <v>2.2430721536076805</v>
      </c>
      <c r="C90" s="84">
        <f t="shared" si="33"/>
        <v>1.7012567085569519</v>
      </c>
      <c r="D90" s="84">
        <f t="shared" si="33"/>
        <v>9.0692814371257491</v>
      </c>
      <c r="E90" s="84">
        <f t="shared" si="33"/>
        <v>1.3890366193573191</v>
      </c>
      <c r="F90" s="84">
        <f t="shared" si="33"/>
        <v>10.361636363636364</v>
      </c>
      <c r="G90" s="84">
        <f t="shared" si="33"/>
        <v>10.991173304628633</v>
      </c>
      <c r="H90" s="84">
        <f t="shared" si="33"/>
        <v>9.9084377610693402</v>
      </c>
      <c r="I90" s="84">
        <f t="shared" si="33"/>
        <v>0.68089370020855911</v>
      </c>
      <c r="J90" s="84">
        <f t="shared" si="33"/>
        <v>8.8398718975180142</v>
      </c>
      <c r="K90" s="84">
        <f t="shared" si="33"/>
        <v>3.5178949846950789</v>
      </c>
      <c r="L90" s="84">
        <f t="shared" si="33"/>
        <v>4.4749361919346606</v>
      </c>
      <c r="M90" s="84">
        <f t="shared" si="33"/>
        <v>2.0947</v>
      </c>
      <c r="N90" s="84">
        <f t="shared" si="33"/>
        <v>1.8512531931435341</v>
      </c>
      <c r="O90" s="84">
        <f t="shared" si="33"/>
        <v>14.427654320987655</v>
      </c>
      <c r="P90" s="84">
        <f t="shared" si="33"/>
        <v>6.0493636363636361</v>
      </c>
      <c r="Q90" s="84">
        <f t="shared" si="33"/>
        <v>7.0956779728971213</v>
      </c>
      <c r="R90" s="84">
        <f t="shared" si="33"/>
        <v>2.7737767057201932</v>
      </c>
      <c r="S90" s="84">
        <f t="shared" si="33"/>
        <v>7.9739413680781759</v>
      </c>
      <c r="T90" s="84">
        <f t="shared" si="33"/>
        <v>14.798302401825191</v>
      </c>
      <c r="U90" s="84">
        <f t="shared" si="33"/>
        <v>3.7664275650057641</v>
      </c>
      <c r="V90" s="84">
        <f t="shared" si="33"/>
        <v>8.6018588235294118</v>
      </c>
      <c r="W90" s="84">
        <f t="shared" si="33"/>
        <v>4.9772772647866237</v>
      </c>
      <c r="X90" s="84">
        <f t="shared" si="33"/>
        <v>2.2284221207508881</v>
      </c>
      <c r="Y90" s="84">
        <f t="shared" si="33"/>
        <v>2.0840190452936151</v>
      </c>
      <c r="Z90" s="84">
        <f t="shared" si="33"/>
        <v>1.8414649309545787</v>
      </c>
      <c r="AA90" s="84">
        <f t="shared" si="33"/>
        <v>2.2727262481686012</v>
      </c>
      <c r="AB90" s="84">
        <f t="shared" si="33"/>
        <v>3.3151932699978244</v>
      </c>
      <c r="AC90" s="84">
        <f t="shared" si="33"/>
        <v>1.6094833973525293</v>
      </c>
      <c r="AD90" s="84">
        <f t="shared" si="33"/>
        <v>10.832953367875648</v>
      </c>
      <c r="AE90" s="87"/>
      <c r="AF90" s="84">
        <v>1.9891046005212845</v>
      </c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</row>
    <row r="91" spans="1:62" ht="13.5" thickBot="1" x14ac:dyDescent="0.25">
      <c r="A91" s="33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8"/>
      <c r="AF91" s="77"/>
    </row>
    <row r="92" spans="1:62" x14ac:dyDescent="0.2">
      <c r="A92" s="12" t="s">
        <v>58</v>
      </c>
      <c r="B92" s="52"/>
      <c r="C92" s="52"/>
      <c r="D92" s="105"/>
      <c r="E92" s="105"/>
      <c r="F92" s="105"/>
      <c r="G92" s="105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3"/>
      <c r="AF92" s="105"/>
    </row>
    <row r="93" spans="1:62" x14ac:dyDescent="0.2">
      <c r="A93" s="3" t="s">
        <v>59</v>
      </c>
      <c r="B93" s="77">
        <f t="shared" ref="B93:AD93" si="34">B45/(B$9/1000)</f>
        <v>0</v>
      </c>
      <c r="C93" s="77">
        <f t="shared" si="34"/>
        <v>0</v>
      </c>
      <c r="D93" s="77">
        <f t="shared" si="34"/>
        <v>0</v>
      </c>
      <c r="E93" s="77">
        <f t="shared" si="34"/>
        <v>0.4799987184826835</v>
      </c>
      <c r="F93" s="77">
        <f t="shared" si="34"/>
        <v>0</v>
      </c>
      <c r="G93" s="77">
        <f t="shared" si="34"/>
        <v>0</v>
      </c>
      <c r="H93" s="77">
        <f t="shared" si="34"/>
        <v>0</v>
      </c>
      <c r="I93" s="77">
        <f t="shared" si="34"/>
        <v>0</v>
      </c>
      <c r="J93" s="77">
        <f t="shared" si="34"/>
        <v>0</v>
      </c>
      <c r="K93" s="77">
        <f t="shared" si="34"/>
        <v>1</v>
      </c>
      <c r="L93" s="77">
        <f t="shared" si="34"/>
        <v>1</v>
      </c>
      <c r="M93" s="77">
        <f t="shared" si="34"/>
        <v>0</v>
      </c>
      <c r="N93" s="77">
        <f t="shared" si="34"/>
        <v>0</v>
      </c>
      <c r="O93" s="77">
        <f t="shared" si="34"/>
        <v>0</v>
      </c>
      <c r="P93" s="77">
        <f t="shared" si="34"/>
        <v>0</v>
      </c>
      <c r="Q93" s="77">
        <f t="shared" si="34"/>
        <v>0.56130222115307515</v>
      </c>
      <c r="R93" s="77">
        <f t="shared" si="34"/>
        <v>0</v>
      </c>
      <c r="S93" s="77">
        <f t="shared" si="34"/>
        <v>0</v>
      </c>
      <c r="T93" s="77">
        <f t="shared" si="34"/>
        <v>0</v>
      </c>
      <c r="U93" s="77">
        <f t="shared" si="34"/>
        <v>0</v>
      </c>
      <c r="V93" s="77">
        <f t="shared" si="34"/>
        <v>1</v>
      </c>
      <c r="W93" s="77">
        <f t="shared" si="34"/>
        <v>1</v>
      </c>
      <c r="X93" s="77">
        <f t="shared" si="34"/>
        <v>0</v>
      </c>
      <c r="Y93" s="77">
        <f t="shared" si="34"/>
        <v>0</v>
      </c>
      <c r="Z93" s="77">
        <f t="shared" si="34"/>
        <v>0</v>
      </c>
      <c r="AA93" s="77">
        <f t="shared" si="34"/>
        <v>1</v>
      </c>
      <c r="AB93" s="77">
        <f t="shared" si="34"/>
        <v>1</v>
      </c>
      <c r="AC93" s="77">
        <f t="shared" si="34"/>
        <v>0</v>
      </c>
      <c r="AD93" s="77">
        <f t="shared" si="34"/>
        <v>0</v>
      </c>
      <c r="AE93" s="7"/>
      <c r="AF93" s="77">
        <v>0.80983017578296157</v>
      </c>
    </row>
    <row r="94" spans="1:62" x14ac:dyDescent="0.2">
      <c r="A94" s="3" t="s">
        <v>60</v>
      </c>
      <c r="B94" s="77">
        <f t="shared" ref="B94:AD94" si="35">B46/(B$9/1000)</f>
        <v>0</v>
      </c>
      <c r="C94" s="77">
        <f t="shared" si="35"/>
        <v>0</v>
      </c>
      <c r="D94" s="77">
        <f t="shared" si="35"/>
        <v>0</v>
      </c>
      <c r="E94" s="77">
        <f t="shared" si="35"/>
        <v>0</v>
      </c>
      <c r="F94" s="77">
        <f t="shared" si="35"/>
        <v>0</v>
      </c>
      <c r="G94" s="77">
        <f t="shared" si="35"/>
        <v>0</v>
      </c>
      <c r="H94" s="77">
        <f t="shared" si="35"/>
        <v>0</v>
      </c>
      <c r="I94" s="77">
        <f t="shared" si="35"/>
        <v>0</v>
      </c>
      <c r="J94" s="77">
        <f t="shared" si="35"/>
        <v>0</v>
      </c>
      <c r="K94" s="77">
        <f t="shared" si="35"/>
        <v>0</v>
      </c>
      <c r="L94" s="77">
        <f t="shared" si="35"/>
        <v>0</v>
      </c>
      <c r="M94" s="77">
        <f t="shared" si="35"/>
        <v>0</v>
      </c>
      <c r="N94" s="77">
        <f t="shared" si="35"/>
        <v>0</v>
      </c>
      <c r="O94" s="77">
        <f t="shared" si="35"/>
        <v>0</v>
      </c>
      <c r="P94" s="77">
        <f t="shared" si="35"/>
        <v>0</v>
      </c>
      <c r="Q94" s="77">
        <f t="shared" si="35"/>
        <v>0</v>
      </c>
      <c r="R94" s="77">
        <f t="shared" si="35"/>
        <v>0</v>
      </c>
      <c r="S94" s="77">
        <f t="shared" si="35"/>
        <v>2.5594462540716614</v>
      </c>
      <c r="T94" s="77">
        <f t="shared" si="35"/>
        <v>0</v>
      </c>
      <c r="U94" s="77">
        <f t="shared" si="35"/>
        <v>0</v>
      </c>
      <c r="V94" s="77">
        <f t="shared" si="35"/>
        <v>0</v>
      </c>
      <c r="W94" s="77">
        <f t="shared" si="35"/>
        <v>0</v>
      </c>
      <c r="X94" s="77">
        <f t="shared" si="35"/>
        <v>0</v>
      </c>
      <c r="Y94" s="77">
        <f t="shared" si="35"/>
        <v>0</v>
      </c>
      <c r="Z94" s="77">
        <f t="shared" si="35"/>
        <v>0</v>
      </c>
      <c r="AA94" s="77">
        <f t="shared" si="35"/>
        <v>0</v>
      </c>
      <c r="AB94" s="77">
        <f t="shared" si="35"/>
        <v>0</v>
      </c>
      <c r="AC94" s="77">
        <f t="shared" si="35"/>
        <v>0</v>
      </c>
      <c r="AD94" s="77">
        <f t="shared" si="35"/>
        <v>0</v>
      </c>
      <c r="AE94" s="7"/>
      <c r="AF94" s="77">
        <v>2.5594462540716614</v>
      </c>
    </row>
    <row r="95" spans="1:62" x14ac:dyDescent="0.2">
      <c r="A95" s="3" t="s">
        <v>61</v>
      </c>
      <c r="B95" s="77">
        <f t="shared" ref="B95:AD95" si="36">B47/(B$9/1000)</f>
        <v>1</v>
      </c>
      <c r="C95" s="77">
        <f t="shared" si="36"/>
        <v>1</v>
      </c>
      <c r="D95" s="77">
        <f t="shared" si="36"/>
        <v>0</v>
      </c>
      <c r="E95" s="77">
        <f t="shared" si="36"/>
        <v>4.6797808605388784</v>
      </c>
      <c r="F95" s="77">
        <f t="shared" si="36"/>
        <v>0</v>
      </c>
      <c r="G95" s="77">
        <f t="shared" si="36"/>
        <v>0</v>
      </c>
      <c r="H95" s="77">
        <f t="shared" si="36"/>
        <v>0</v>
      </c>
      <c r="I95" s="77">
        <f t="shared" si="36"/>
        <v>3.5125805239570682</v>
      </c>
      <c r="J95" s="77">
        <f t="shared" si="36"/>
        <v>0</v>
      </c>
      <c r="K95" s="77">
        <f t="shared" si="36"/>
        <v>3.8316458676712974</v>
      </c>
      <c r="L95" s="77">
        <f t="shared" si="36"/>
        <v>4.0239918325676367</v>
      </c>
      <c r="M95" s="77">
        <f t="shared" si="36"/>
        <v>1</v>
      </c>
      <c r="N95" s="77">
        <f t="shared" si="36"/>
        <v>4.3058383621487542</v>
      </c>
      <c r="O95" s="77">
        <f t="shared" si="36"/>
        <v>4.1283950617283951</v>
      </c>
      <c r="P95" s="77">
        <f t="shared" si="36"/>
        <v>0</v>
      </c>
      <c r="Q95" s="77">
        <f t="shared" si="36"/>
        <v>4.3175847967284096</v>
      </c>
      <c r="R95" s="77">
        <f t="shared" si="36"/>
        <v>4.6308293131173901</v>
      </c>
      <c r="S95" s="77">
        <f t="shared" si="36"/>
        <v>5</v>
      </c>
      <c r="T95" s="77">
        <f t="shared" si="36"/>
        <v>6.8232739741706387</v>
      </c>
      <c r="U95" s="77">
        <f t="shared" si="36"/>
        <v>0</v>
      </c>
      <c r="V95" s="77">
        <f t="shared" si="36"/>
        <v>5</v>
      </c>
      <c r="W95" s="77">
        <f t="shared" si="36"/>
        <v>5</v>
      </c>
      <c r="X95" s="77">
        <f t="shared" si="36"/>
        <v>2.0941146626078133</v>
      </c>
      <c r="Y95" s="77">
        <f t="shared" si="36"/>
        <v>2.5813453790745942</v>
      </c>
      <c r="Z95" s="77">
        <f t="shared" si="36"/>
        <v>3.7432829072549501</v>
      </c>
      <c r="AA95" s="77">
        <f t="shared" si="36"/>
        <v>3.8007438295954019</v>
      </c>
      <c r="AB95" s="77">
        <f t="shared" si="36"/>
        <v>2.424874900282834</v>
      </c>
      <c r="AC95" s="77">
        <f t="shared" si="36"/>
        <v>3.6738215725552368</v>
      </c>
      <c r="AD95" s="77">
        <f t="shared" si="36"/>
        <v>0</v>
      </c>
      <c r="AE95" s="7"/>
      <c r="AF95" s="77">
        <v>3.6266213561684921</v>
      </c>
    </row>
    <row r="96" spans="1:62" x14ac:dyDescent="0.2">
      <c r="A96" s="3" t="s">
        <v>62</v>
      </c>
      <c r="B96" s="77">
        <f t="shared" ref="B96:U96" si="37">B48/(B$9/1000)</f>
        <v>0</v>
      </c>
      <c r="C96" s="77">
        <f t="shared" si="37"/>
        <v>0</v>
      </c>
      <c r="D96" s="77">
        <f t="shared" si="37"/>
        <v>0</v>
      </c>
      <c r="E96" s="77">
        <f t="shared" si="37"/>
        <v>0</v>
      </c>
      <c r="F96" s="77">
        <f t="shared" si="37"/>
        <v>0</v>
      </c>
      <c r="G96" s="77">
        <f t="shared" si="37"/>
        <v>0</v>
      </c>
      <c r="H96" s="77">
        <f t="shared" si="37"/>
        <v>0</v>
      </c>
      <c r="I96" s="77">
        <f t="shared" si="37"/>
        <v>0</v>
      </c>
      <c r="J96" s="77">
        <f t="shared" si="37"/>
        <v>0</v>
      </c>
      <c r="K96" s="77">
        <f t="shared" si="37"/>
        <v>0</v>
      </c>
      <c r="L96" s="77">
        <f t="shared" si="37"/>
        <v>0</v>
      </c>
      <c r="M96" s="77">
        <f t="shared" si="37"/>
        <v>0</v>
      </c>
      <c r="N96" s="77">
        <f t="shared" si="37"/>
        <v>0</v>
      </c>
      <c r="O96" s="77">
        <f t="shared" si="37"/>
        <v>0</v>
      </c>
      <c r="P96" s="77">
        <f t="shared" si="37"/>
        <v>0</v>
      </c>
      <c r="Q96" s="77">
        <f t="shared" si="37"/>
        <v>0</v>
      </c>
      <c r="R96" s="77">
        <f t="shared" si="37"/>
        <v>0</v>
      </c>
      <c r="S96" s="77">
        <f t="shared" si="37"/>
        <v>0</v>
      </c>
      <c r="T96" s="77">
        <f t="shared" si="37"/>
        <v>0</v>
      </c>
      <c r="U96" s="77">
        <f t="shared" si="37"/>
        <v>1</v>
      </c>
      <c r="V96" s="77">
        <f>V49/(V$9/1000)</f>
        <v>0.3235294117647059</v>
      </c>
      <c r="W96" s="77">
        <f t="shared" ref="W96:AD98" si="38">W48/(W$9/1000)</f>
        <v>0</v>
      </c>
      <c r="X96" s="77">
        <f t="shared" si="38"/>
        <v>0</v>
      </c>
      <c r="Y96" s="77">
        <f t="shared" si="38"/>
        <v>0</v>
      </c>
      <c r="Z96" s="77">
        <f t="shared" si="38"/>
        <v>0</v>
      </c>
      <c r="AA96" s="77">
        <f t="shared" si="38"/>
        <v>0</v>
      </c>
      <c r="AB96" s="77">
        <f t="shared" si="38"/>
        <v>0</v>
      </c>
      <c r="AC96" s="77">
        <f t="shared" si="38"/>
        <v>0</v>
      </c>
      <c r="AD96" s="77">
        <f t="shared" si="38"/>
        <v>0</v>
      </c>
      <c r="AE96" s="7"/>
      <c r="AF96" s="77">
        <v>1</v>
      </c>
    </row>
    <row r="97" spans="1:62" x14ac:dyDescent="0.2">
      <c r="A97" s="3" t="s">
        <v>63</v>
      </c>
      <c r="B97" s="77">
        <f t="shared" ref="B97:U97" si="39">B49/(B$9/1000)</f>
        <v>1.0090504525226262E-2</v>
      </c>
      <c r="C97" s="77">
        <f t="shared" si="39"/>
        <v>0.11639054635154505</v>
      </c>
      <c r="D97" s="77">
        <f t="shared" si="39"/>
        <v>0</v>
      </c>
      <c r="E97" s="77">
        <f t="shared" si="39"/>
        <v>0.14149873450164996</v>
      </c>
      <c r="F97" s="77">
        <f t="shared" si="39"/>
        <v>0</v>
      </c>
      <c r="G97" s="77">
        <f t="shared" si="39"/>
        <v>0</v>
      </c>
      <c r="H97" s="77">
        <f t="shared" si="39"/>
        <v>0</v>
      </c>
      <c r="I97" s="77">
        <f t="shared" si="39"/>
        <v>6.4886381581455127E-2</v>
      </c>
      <c r="J97" s="77">
        <f t="shared" si="39"/>
        <v>0</v>
      </c>
      <c r="K97" s="77">
        <f t="shared" si="39"/>
        <v>0.22731339769248882</v>
      </c>
      <c r="L97" s="77">
        <f t="shared" si="39"/>
        <v>0.26190233112132039</v>
      </c>
      <c r="M97" s="77">
        <f t="shared" si="39"/>
        <v>1.1809999999999999E-2</v>
      </c>
      <c r="N97" s="77">
        <f t="shared" si="39"/>
        <v>0.17634667357743142</v>
      </c>
      <c r="O97" s="77">
        <f t="shared" si="39"/>
        <v>0.49422222222222223</v>
      </c>
      <c r="P97" s="77">
        <f t="shared" si="39"/>
        <v>0</v>
      </c>
      <c r="Q97" s="77">
        <f t="shared" si="39"/>
        <v>0.24821586079704916</v>
      </c>
      <c r="R97" s="77">
        <f t="shared" si="39"/>
        <v>0.22862841718355156</v>
      </c>
      <c r="S97" s="77">
        <f t="shared" si="39"/>
        <v>0</v>
      </c>
      <c r="T97" s="77">
        <f t="shared" si="39"/>
        <v>0.35537980056151097</v>
      </c>
      <c r="U97" s="77">
        <f t="shared" si="39"/>
        <v>0</v>
      </c>
      <c r="V97" s="77" t="e">
        <f>#REF!/(V$9/1000)</f>
        <v>#REF!</v>
      </c>
      <c r="W97" s="77">
        <f t="shared" si="38"/>
        <v>0.199900174694285</v>
      </c>
      <c r="X97" s="77">
        <f t="shared" si="38"/>
        <v>0</v>
      </c>
      <c r="Y97" s="77">
        <f t="shared" si="38"/>
        <v>0.46243437919667929</v>
      </c>
      <c r="Z97" s="77">
        <f t="shared" si="38"/>
        <v>0.19403553060417097</v>
      </c>
      <c r="AA97" s="77">
        <f t="shared" si="38"/>
        <v>0.15074946466809422</v>
      </c>
      <c r="AB97" s="77">
        <f t="shared" si="38"/>
        <v>0.19559068822974834</v>
      </c>
      <c r="AC97" s="77">
        <f t="shared" si="38"/>
        <v>0.2949653835708913</v>
      </c>
      <c r="AD97" s="77">
        <f t="shared" si="38"/>
        <v>0</v>
      </c>
      <c r="AE97" s="7"/>
      <c r="AF97" s="77">
        <v>0.21629331098529261</v>
      </c>
    </row>
    <row r="98" spans="1:62" ht="13.5" thickBot="1" x14ac:dyDescent="0.25">
      <c r="A98" s="3" t="s">
        <v>22</v>
      </c>
      <c r="B98" s="77">
        <f t="shared" ref="B98:U98" si="40">B50/(B$9/1000)</f>
        <v>0.30001500075003751</v>
      </c>
      <c r="C98" s="77">
        <f t="shared" si="40"/>
        <v>0.20000666688889629</v>
      </c>
      <c r="D98" s="77">
        <f t="shared" si="40"/>
        <v>9.980059880239521E-2</v>
      </c>
      <c r="E98" s="77">
        <f t="shared" si="40"/>
        <v>0.19222759747541088</v>
      </c>
      <c r="F98" s="77">
        <f t="shared" si="40"/>
        <v>0.15151545454545456</v>
      </c>
      <c r="G98" s="77">
        <f t="shared" si="40"/>
        <v>0.17940473627556514</v>
      </c>
      <c r="H98" s="77">
        <f t="shared" si="40"/>
        <v>0.13923725981620719</v>
      </c>
      <c r="I98" s="77">
        <f t="shared" si="40"/>
        <v>0.10890814142811246</v>
      </c>
      <c r="J98" s="77">
        <f t="shared" si="40"/>
        <v>0.13344035228182546</v>
      </c>
      <c r="K98" s="77">
        <f t="shared" si="40"/>
        <v>0.70638097480574524</v>
      </c>
      <c r="L98" s="77">
        <f t="shared" si="40"/>
        <v>1.0209290454313424</v>
      </c>
      <c r="M98" s="77">
        <f t="shared" si="40"/>
        <v>0.3</v>
      </c>
      <c r="N98" s="77">
        <f t="shared" si="40"/>
        <v>0.18510977009366555</v>
      </c>
      <c r="O98" s="77">
        <f t="shared" si="40"/>
        <v>1.728395061728395</v>
      </c>
      <c r="P98" s="77">
        <f t="shared" si="40"/>
        <v>0</v>
      </c>
      <c r="Q98" s="77">
        <f t="shared" si="40"/>
        <v>0.5</v>
      </c>
      <c r="R98" s="77">
        <f t="shared" si="40"/>
        <v>0.65743165632896849</v>
      </c>
      <c r="S98" s="77">
        <f t="shared" si="40"/>
        <v>0</v>
      </c>
      <c r="T98" s="77">
        <f t="shared" si="40"/>
        <v>2.7294915557719737</v>
      </c>
      <c r="U98" s="77">
        <f t="shared" si="40"/>
        <v>0.25618035096708081</v>
      </c>
      <c r="V98" s="77">
        <f>V50/(V$9/1000)</f>
        <v>1.1764705882352942</v>
      </c>
      <c r="W98" s="77">
        <f t="shared" si="38"/>
        <v>1</v>
      </c>
      <c r="X98" s="77">
        <f t="shared" si="38"/>
        <v>0</v>
      </c>
      <c r="Y98" s="77">
        <f t="shared" si="38"/>
        <v>0</v>
      </c>
      <c r="Z98" s="77">
        <f t="shared" si="38"/>
        <v>0</v>
      </c>
      <c r="AA98" s="77">
        <f t="shared" si="38"/>
        <v>0.39445508847064126</v>
      </c>
      <c r="AB98" s="77">
        <f t="shared" si="38"/>
        <v>0.58017260134890125</v>
      </c>
      <c r="AC98" s="77">
        <f t="shared" si="38"/>
        <v>0</v>
      </c>
      <c r="AD98" s="77">
        <f t="shared" si="38"/>
        <v>0.17271191709844561</v>
      </c>
      <c r="AE98" s="7"/>
      <c r="AF98" s="77">
        <v>0.27561130323597821</v>
      </c>
    </row>
    <row r="99" spans="1:62" s="43" customFormat="1" ht="13.5" thickBot="1" x14ac:dyDescent="0.25">
      <c r="A99" s="83" t="s">
        <v>42</v>
      </c>
      <c r="B99" s="84">
        <f t="shared" ref="B99:AD99" si="41">SUM(B93:B98)</f>
        <v>1.3101055052752637</v>
      </c>
      <c r="C99" s="84">
        <f>SUM(C93:C98)</f>
        <v>1.3163972132404413</v>
      </c>
      <c r="D99" s="84">
        <f t="shared" si="41"/>
        <v>9.980059880239521E-2</v>
      </c>
      <c r="E99" s="84">
        <f t="shared" si="41"/>
        <v>5.4935059109986231</v>
      </c>
      <c r="F99" s="84">
        <f t="shared" si="41"/>
        <v>0.15151545454545456</v>
      </c>
      <c r="G99" s="84">
        <f>SUM(G93:G98)</f>
        <v>0.17940473627556514</v>
      </c>
      <c r="H99" s="84">
        <f>SUM(H93:H98)</f>
        <v>0.13923725981620719</v>
      </c>
      <c r="I99" s="84">
        <f t="shared" si="41"/>
        <v>3.6863750469666359</v>
      </c>
      <c r="J99" s="84">
        <f t="shared" si="41"/>
        <v>0.13344035228182546</v>
      </c>
      <c r="K99" s="84">
        <f t="shared" si="41"/>
        <v>5.7653402401695306</v>
      </c>
      <c r="L99" s="84">
        <f t="shared" si="41"/>
        <v>6.3068232091202994</v>
      </c>
      <c r="M99" s="84">
        <f t="shared" si="41"/>
        <v>1.3118100000000001</v>
      </c>
      <c r="N99" s="84">
        <f t="shared" si="41"/>
        <v>4.6672948058198518</v>
      </c>
      <c r="O99" s="84">
        <f t="shared" si="41"/>
        <v>6.3510123456790124</v>
      </c>
      <c r="P99" s="84">
        <f>SUM(P93:P98)</f>
        <v>0</v>
      </c>
      <c r="Q99" s="84">
        <f>SUM(Q93:Q98)</f>
        <v>5.6271028786785333</v>
      </c>
      <c r="R99" s="84">
        <f t="shared" si="41"/>
        <v>5.5168893866299102</v>
      </c>
      <c r="S99" s="84">
        <f t="shared" si="41"/>
        <v>7.5594462540716609</v>
      </c>
      <c r="T99" s="84">
        <f t="shared" si="41"/>
        <v>9.9081453305041229</v>
      </c>
      <c r="U99" s="84">
        <f t="shared" si="41"/>
        <v>1.2561803509670808</v>
      </c>
      <c r="V99" s="84" t="e">
        <f t="shared" si="41"/>
        <v>#REF!</v>
      </c>
      <c r="W99" s="84">
        <f t="shared" si="41"/>
        <v>7.1999001746942852</v>
      </c>
      <c r="X99" s="84">
        <f t="shared" si="41"/>
        <v>2.0941146626078133</v>
      </c>
      <c r="Y99" s="84">
        <f t="shared" si="41"/>
        <v>3.0437797582712736</v>
      </c>
      <c r="Z99" s="84">
        <f t="shared" si="41"/>
        <v>3.9373184378591208</v>
      </c>
      <c r="AA99" s="84">
        <f t="shared" si="41"/>
        <v>5.3459483827341376</v>
      </c>
      <c r="AB99" s="84">
        <f t="shared" si="41"/>
        <v>4.2006381898614835</v>
      </c>
      <c r="AC99" s="84">
        <f t="shared" si="41"/>
        <v>3.9687869561261282</v>
      </c>
      <c r="AD99" s="84">
        <f t="shared" si="41"/>
        <v>0.17271191709844561</v>
      </c>
      <c r="AE99" s="87"/>
      <c r="AF99" s="84">
        <v>3.9736328011413948</v>
      </c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</row>
    <row r="100" spans="1:62" ht="13.5" thickBot="1" x14ac:dyDescent="0.25">
      <c r="A100" s="17" t="s">
        <v>32</v>
      </c>
      <c r="B100" s="88"/>
      <c r="C100" s="88"/>
      <c r="D100" s="88"/>
      <c r="E100" s="88"/>
      <c r="F100" s="88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90"/>
      <c r="AF100" s="88">
        <v>0</v>
      </c>
    </row>
    <row r="101" spans="1:62" s="47" customFormat="1" ht="13.5" thickBot="1" x14ac:dyDescent="0.25">
      <c r="A101" s="83" t="s">
        <v>43</v>
      </c>
      <c r="B101" s="84">
        <f t="shared" ref="B101:Z101" si="42">B53/(B$9/1000)</f>
        <v>0</v>
      </c>
      <c r="C101" s="84">
        <f>C53/(C$9/1000)</f>
        <v>0</v>
      </c>
      <c r="D101" s="84">
        <f t="shared" si="42"/>
        <v>5</v>
      </c>
      <c r="E101" s="84">
        <f t="shared" si="42"/>
        <v>0</v>
      </c>
      <c r="F101" s="84">
        <f t="shared" si="42"/>
        <v>5</v>
      </c>
      <c r="G101" s="84">
        <f t="shared" si="42"/>
        <v>5</v>
      </c>
      <c r="H101" s="84">
        <f>H53/(H$9/1000)</f>
        <v>5</v>
      </c>
      <c r="I101" s="84">
        <f t="shared" si="42"/>
        <v>0</v>
      </c>
      <c r="J101" s="84">
        <f t="shared" si="42"/>
        <v>0</v>
      </c>
      <c r="K101" s="84">
        <f t="shared" si="42"/>
        <v>0</v>
      </c>
      <c r="L101" s="84">
        <f t="shared" si="42"/>
        <v>0</v>
      </c>
      <c r="M101" s="84">
        <f t="shared" si="42"/>
        <v>0</v>
      </c>
      <c r="N101" s="84">
        <f t="shared" si="42"/>
        <v>0</v>
      </c>
      <c r="O101" s="84">
        <f t="shared" si="42"/>
        <v>0</v>
      </c>
      <c r="P101" s="84">
        <f>P53/(P$9/1000)</f>
        <v>0</v>
      </c>
      <c r="Q101" s="84">
        <f>Q53/(Q$9/1000)</f>
        <v>0</v>
      </c>
      <c r="R101" s="84">
        <f t="shared" si="42"/>
        <v>0</v>
      </c>
      <c r="S101" s="84">
        <f t="shared" si="42"/>
        <v>0</v>
      </c>
      <c r="T101" s="84">
        <f t="shared" si="42"/>
        <v>0</v>
      </c>
      <c r="U101" s="84">
        <f t="shared" si="42"/>
        <v>0</v>
      </c>
      <c r="V101" s="84">
        <f t="shared" si="42"/>
        <v>0</v>
      </c>
      <c r="W101" s="84">
        <f t="shared" si="42"/>
        <v>0</v>
      </c>
      <c r="X101" s="84">
        <f t="shared" si="42"/>
        <v>0</v>
      </c>
      <c r="Y101" s="84">
        <f t="shared" si="42"/>
        <v>0</v>
      </c>
      <c r="Z101" s="84">
        <f t="shared" si="42"/>
        <v>0</v>
      </c>
      <c r="AA101" s="84">
        <f>AA53/(AA$9/1000)</f>
        <v>0</v>
      </c>
      <c r="AB101" s="84">
        <f>AB53/(AB$9/1000)</f>
        <v>0</v>
      </c>
      <c r="AC101" s="84">
        <f>AC53/(AC$9/1000)</f>
        <v>0</v>
      </c>
      <c r="AD101" s="84">
        <f>AD53/(AD$9/1000)</f>
        <v>0</v>
      </c>
      <c r="AE101" s="87"/>
      <c r="AF101" s="84">
        <v>5</v>
      </c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</row>
    <row r="102" spans="1:62" ht="13.5" thickBot="1" x14ac:dyDescent="0.25">
      <c r="A102" s="101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8"/>
      <c r="AF102" s="77"/>
    </row>
    <row r="103" spans="1:62" ht="13.5" thickBot="1" x14ac:dyDescent="0.25">
      <c r="A103" s="83" t="s">
        <v>21</v>
      </c>
      <c r="B103" s="84">
        <f>B55/(B$9/1000)</f>
        <v>0</v>
      </c>
      <c r="C103" s="84">
        <f>C55/(C$9/1000)</f>
        <v>0</v>
      </c>
      <c r="D103" s="84">
        <f t="shared" ref="D103:AD103" si="43">D55/(D$9/1000)</f>
        <v>0</v>
      </c>
      <c r="E103" s="84">
        <f t="shared" si="43"/>
        <v>0</v>
      </c>
      <c r="F103" s="84">
        <f t="shared" si="43"/>
        <v>0</v>
      </c>
      <c r="G103" s="84">
        <f t="shared" si="43"/>
        <v>0</v>
      </c>
      <c r="H103" s="84">
        <f>H55/(H$9/1000)</f>
        <v>0</v>
      </c>
      <c r="I103" s="84">
        <f t="shared" si="43"/>
        <v>0</v>
      </c>
      <c r="J103" s="84">
        <f t="shared" si="43"/>
        <v>0</v>
      </c>
      <c r="K103" s="84">
        <f t="shared" si="43"/>
        <v>0</v>
      </c>
      <c r="L103" s="84">
        <f t="shared" si="43"/>
        <v>0</v>
      </c>
      <c r="M103" s="84">
        <f t="shared" si="43"/>
        <v>0</v>
      </c>
      <c r="N103" s="84">
        <f t="shared" si="43"/>
        <v>0</v>
      </c>
      <c r="O103" s="84">
        <f t="shared" si="43"/>
        <v>0</v>
      </c>
      <c r="P103" s="84">
        <f>P55/(P$9/1000)</f>
        <v>0</v>
      </c>
      <c r="Q103" s="84">
        <f>Q55/(Q$9/1000)</f>
        <v>3.9745810279849252</v>
      </c>
      <c r="R103" s="84">
        <f t="shared" si="43"/>
        <v>0</v>
      </c>
      <c r="S103" s="84">
        <f t="shared" si="43"/>
        <v>0</v>
      </c>
      <c r="T103" s="84">
        <f t="shared" si="43"/>
        <v>0</v>
      </c>
      <c r="U103" s="84">
        <f t="shared" si="43"/>
        <v>0</v>
      </c>
      <c r="V103" s="84">
        <f>V55/(V$9/1000)</f>
        <v>0</v>
      </c>
      <c r="W103" s="84">
        <f t="shared" si="43"/>
        <v>0</v>
      </c>
      <c r="X103" s="84">
        <f t="shared" si="43"/>
        <v>0</v>
      </c>
      <c r="Y103" s="84">
        <f t="shared" si="43"/>
        <v>0</v>
      </c>
      <c r="Z103" s="84">
        <f t="shared" si="43"/>
        <v>0</v>
      </c>
      <c r="AA103" s="84">
        <f t="shared" si="43"/>
        <v>0</v>
      </c>
      <c r="AB103" s="84">
        <f t="shared" si="43"/>
        <v>0</v>
      </c>
      <c r="AC103" s="84">
        <f t="shared" si="43"/>
        <v>0</v>
      </c>
      <c r="AD103" s="84">
        <f t="shared" si="43"/>
        <v>0</v>
      </c>
      <c r="AE103" s="102"/>
      <c r="AF103" s="84">
        <v>3.9745810279849247</v>
      </c>
    </row>
    <row r="104" spans="1:62" ht="13.5" thickBot="1" x14ac:dyDescent="0.25">
      <c r="A104" s="25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8"/>
      <c r="AF104" s="77"/>
    </row>
    <row r="105" spans="1:62" s="43" customFormat="1" x14ac:dyDescent="0.2">
      <c r="A105" s="62" t="s">
        <v>46</v>
      </c>
      <c r="B105" s="88">
        <f>B57/(B$9/1000)</f>
        <v>3.553177658882944</v>
      </c>
      <c r="C105" s="88">
        <f>C57/(C$9/1000)</f>
        <v>3.0176539217973932</v>
      </c>
      <c r="D105" s="88">
        <f t="shared" ref="B105:L106" si="44">D57/(D$9/1000)</f>
        <v>14.169082035928145</v>
      </c>
      <c r="E105" s="88">
        <f t="shared" si="44"/>
        <v>6.8825425303559413</v>
      </c>
      <c r="F105" s="88">
        <f t="shared" si="44"/>
        <v>15.513151818181816</v>
      </c>
      <c r="G105" s="88">
        <f t="shared" si="44"/>
        <v>16.170578040904196</v>
      </c>
      <c r="H105" s="88">
        <f>H57/(H$9/1000)</f>
        <v>15.047675020885546</v>
      </c>
      <c r="I105" s="88">
        <f t="shared" si="44"/>
        <v>4.3672687471751948</v>
      </c>
      <c r="J105" s="88">
        <f t="shared" si="44"/>
        <v>8.9733122497998394</v>
      </c>
      <c r="K105" s="88">
        <f t="shared" si="44"/>
        <v>9.2832352248646099</v>
      </c>
      <c r="L105" s="88">
        <f t="shared" si="44"/>
        <v>10.781759401054961</v>
      </c>
      <c r="M105" s="88">
        <f>M57/(M$9/1000)</f>
        <v>3.4065099999999999</v>
      </c>
      <c r="N105" s="88">
        <f>N57/(N$9/1000)</f>
        <v>6.5185479989633857</v>
      </c>
      <c r="O105" s="88">
        <f t="shared" ref="O105:AD106" si="45">O57/(O$9/1000)</f>
        <v>20.778666666666666</v>
      </c>
      <c r="P105" s="88">
        <f>P57/(P$9/1000)</f>
        <v>6.0493636363636361</v>
      </c>
      <c r="Q105" s="88">
        <f>Q57/(Q$9/1000)</f>
        <v>12.722780851575655</v>
      </c>
      <c r="R105" s="88">
        <f t="shared" si="45"/>
        <v>8.2906660923501043</v>
      </c>
      <c r="S105" s="88">
        <f t="shared" si="45"/>
        <v>15.533387622149837</v>
      </c>
      <c r="T105" s="88">
        <f t="shared" si="45"/>
        <v>24.706447732329316</v>
      </c>
      <c r="U105" s="88">
        <f t="shared" si="45"/>
        <v>5.0226079159728449</v>
      </c>
      <c r="V105" s="88">
        <f t="shared" si="45"/>
        <v>16.101858823529412</v>
      </c>
      <c r="W105" s="88">
        <f t="shared" si="45"/>
        <v>12.177177439480909</v>
      </c>
      <c r="X105" s="88">
        <f t="shared" si="45"/>
        <v>4.322536783358701</v>
      </c>
      <c r="Y105" s="88">
        <f t="shared" si="45"/>
        <v>5.1277988035648887</v>
      </c>
      <c r="Z105" s="88">
        <f t="shared" si="45"/>
        <v>5.7787833688137002</v>
      </c>
      <c r="AA105" s="88">
        <f t="shared" si="45"/>
        <v>7.6186746309027384</v>
      </c>
      <c r="AB105" s="88">
        <f t="shared" si="45"/>
        <v>7.5158314598593083</v>
      </c>
      <c r="AC105" s="88">
        <f>AC57/(AC$9/1000)</f>
        <v>5.5782703534786577</v>
      </c>
      <c r="AD105" s="88">
        <f t="shared" si="45"/>
        <v>11.005665284974093</v>
      </c>
      <c r="AE105" s="90"/>
      <c r="AF105" s="88">
        <v>5.9668927902343478</v>
      </c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</row>
    <row r="106" spans="1:62" s="47" customFormat="1" ht="13.5" thickBot="1" x14ac:dyDescent="0.25">
      <c r="A106" s="65" t="s">
        <v>44</v>
      </c>
      <c r="B106" s="80">
        <f t="shared" si="44"/>
        <v>3.553177658882944</v>
      </c>
      <c r="C106" s="80">
        <f>C58/(C$9/1000)</f>
        <v>3.0176539217973932</v>
      </c>
      <c r="D106" s="80">
        <f t="shared" si="44"/>
        <v>14.169082035928145</v>
      </c>
      <c r="E106" s="80">
        <f t="shared" si="44"/>
        <v>6.8825425303559413</v>
      </c>
      <c r="F106" s="80">
        <f t="shared" si="44"/>
        <v>15.513151818181816</v>
      </c>
      <c r="G106" s="80">
        <f t="shared" si="44"/>
        <v>16.170578040904196</v>
      </c>
      <c r="H106" s="80">
        <f>H58/(H$9/1000)</f>
        <v>15.047675020885546</v>
      </c>
      <c r="I106" s="80">
        <f t="shared" si="44"/>
        <v>4.3672687471751948</v>
      </c>
      <c r="J106" s="80">
        <f t="shared" si="44"/>
        <v>8.9733122497998394</v>
      </c>
      <c r="K106" s="80">
        <f t="shared" si="44"/>
        <v>9.2832352248646099</v>
      </c>
      <c r="L106" s="80">
        <f t="shared" si="44"/>
        <v>10.781759401054961</v>
      </c>
      <c r="M106" s="80">
        <f>M58/(M$9/1000)</f>
        <v>3.4065099999999999</v>
      </c>
      <c r="N106" s="80">
        <f>N58/(N$9/1000)</f>
        <v>6.5185479989633857</v>
      </c>
      <c r="O106" s="80">
        <f t="shared" si="45"/>
        <v>20.778666666666666</v>
      </c>
      <c r="P106" s="80">
        <f>P58/(P$9/1000)</f>
        <v>6.0493636363636361</v>
      </c>
      <c r="Q106" s="80">
        <f>Q58/(Q$9/1000)</f>
        <v>12.722780851575655</v>
      </c>
      <c r="R106" s="80">
        <f t="shared" si="45"/>
        <v>8.2906660923501043</v>
      </c>
      <c r="S106" s="80">
        <f t="shared" si="45"/>
        <v>15.533387622149837</v>
      </c>
      <c r="T106" s="80">
        <f t="shared" si="45"/>
        <v>24.706447732329316</v>
      </c>
      <c r="U106" s="80">
        <f t="shared" si="45"/>
        <v>5.0226079159728449</v>
      </c>
      <c r="V106" s="80">
        <f t="shared" si="45"/>
        <v>16.101858823529412</v>
      </c>
      <c r="W106" s="80">
        <f t="shared" si="45"/>
        <v>12.177177439480909</v>
      </c>
      <c r="X106" s="80">
        <f t="shared" si="45"/>
        <v>4.322536783358701</v>
      </c>
      <c r="Y106" s="80">
        <f t="shared" si="45"/>
        <v>5.1277988035648887</v>
      </c>
      <c r="Z106" s="80">
        <f t="shared" si="45"/>
        <v>5.7787833688137002</v>
      </c>
      <c r="AA106" s="80">
        <f t="shared" si="45"/>
        <v>7.6186746309027384</v>
      </c>
      <c r="AB106" s="80">
        <f t="shared" si="45"/>
        <v>7.5158314598593083</v>
      </c>
      <c r="AC106" s="80">
        <f>AC58/(AC$9/1000)</f>
        <v>5.5782703534786577</v>
      </c>
      <c r="AD106" s="80">
        <f t="shared" si="45"/>
        <v>11.005665284974093</v>
      </c>
      <c r="AE106" s="212"/>
      <c r="AF106" s="80">
        <v>5.9668927902343478</v>
      </c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</row>
    <row r="107" spans="1:62" x14ac:dyDescent="0.2">
      <c r="A107" s="25"/>
      <c r="AE107" s="9"/>
      <c r="AF107" s="31"/>
    </row>
    <row r="108" spans="1:62" s="76" customFormat="1" x14ac:dyDescent="0.2">
      <c r="A108" s="91" t="s">
        <v>24</v>
      </c>
      <c r="B108" s="129">
        <v>0</v>
      </c>
      <c r="C108" s="129">
        <v>0</v>
      </c>
      <c r="D108" s="129">
        <v>0</v>
      </c>
      <c r="E108" s="129">
        <v>0</v>
      </c>
      <c r="F108" s="129">
        <v>0</v>
      </c>
      <c r="G108" s="140">
        <v>0</v>
      </c>
      <c r="H108" s="140">
        <v>0</v>
      </c>
      <c r="I108" s="140">
        <v>0</v>
      </c>
      <c r="J108" s="140">
        <v>0</v>
      </c>
      <c r="K108" s="140">
        <v>0</v>
      </c>
      <c r="L108" s="140">
        <v>0</v>
      </c>
      <c r="M108" s="140">
        <v>0</v>
      </c>
      <c r="N108" s="140">
        <v>95552150</v>
      </c>
      <c r="O108" s="140">
        <v>1061206</v>
      </c>
      <c r="Q108" s="140">
        <v>4280754</v>
      </c>
      <c r="R108" s="140">
        <v>1964159</v>
      </c>
      <c r="S108" s="140">
        <v>1949430</v>
      </c>
      <c r="T108" s="140">
        <v>0</v>
      </c>
      <c r="U108" s="140">
        <v>0</v>
      </c>
      <c r="V108" s="140">
        <v>9511990</v>
      </c>
      <c r="W108" s="140">
        <v>5438852</v>
      </c>
      <c r="X108" s="140">
        <v>12890600</v>
      </c>
      <c r="Y108" s="140">
        <v>7368201</v>
      </c>
      <c r="Z108" s="140">
        <v>1987712</v>
      </c>
      <c r="AA108" s="140">
        <v>7200498</v>
      </c>
      <c r="AB108" s="140">
        <v>15941745</v>
      </c>
      <c r="AC108" s="140"/>
      <c r="AD108" s="140"/>
      <c r="AE108" s="130"/>
      <c r="AF108" s="129">
        <f>SUM(B108:AD108)</f>
        <v>165147297</v>
      </c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  <c r="BH108" s="92"/>
      <c r="BI108" s="92"/>
      <c r="BJ108" s="92"/>
    </row>
    <row r="109" spans="1:62" s="94" customFormat="1" x14ac:dyDescent="0.2">
      <c r="A109" s="93" t="s">
        <v>25</v>
      </c>
      <c r="B109" s="128">
        <v>0</v>
      </c>
      <c r="C109" s="128">
        <v>0</v>
      </c>
      <c r="D109" s="128">
        <v>0</v>
      </c>
      <c r="E109" s="128">
        <v>0</v>
      </c>
      <c r="F109" s="128">
        <v>0</v>
      </c>
      <c r="G109" s="141">
        <v>0</v>
      </c>
      <c r="H109" s="141">
        <v>0</v>
      </c>
      <c r="I109" s="141">
        <v>0</v>
      </c>
      <c r="J109" s="141">
        <v>0</v>
      </c>
      <c r="K109" s="141">
        <v>0</v>
      </c>
      <c r="L109" s="141">
        <v>0</v>
      </c>
      <c r="M109" s="141">
        <v>0</v>
      </c>
      <c r="N109" s="141">
        <v>198812552</v>
      </c>
      <c r="O109" s="141">
        <v>1313344</v>
      </c>
      <c r="Q109" s="141">
        <v>5211681</v>
      </c>
      <c r="R109" s="141">
        <v>2123208</v>
      </c>
      <c r="S109" s="141">
        <v>2533465</v>
      </c>
      <c r="T109" s="141">
        <v>0</v>
      </c>
      <c r="U109" s="141">
        <v>0</v>
      </c>
      <c r="V109" s="141">
        <v>12769542</v>
      </c>
      <c r="W109" s="141">
        <v>6910824</v>
      </c>
      <c r="X109" s="141">
        <v>33327786</v>
      </c>
      <c r="Y109" s="141">
        <v>7984755</v>
      </c>
      <c r="Z109" s="141">
        <v>2013847</v>
      </c>
      <c r="AA109" s="141">
        <v>11495153</v>
      </c>
      <c r="AB109" s="141">
        <v>18977331</v>
      </c>
      <c r="AC109" s="141"/>
      <c r="AD109" s="141"/>
      <c r="AE109" s="131"/>
      <c r="AF109" s="128">
        <f>SUM(B109:AD109)</f>
        <v>303473488</v>
      </c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  <c r="BH109" s="92"/>
      <c r="BI109" s="92"/>
      <c r="BJ109" s="92"/>
    </row>
    <row r="110" spans="1:62" ht="15" customHeight="1" x14ac:dyDescent="0.2">
      <c r="AE110" s="22"/>
    </row>
    <row r="111" spans="1:62" x14ac:dyDescent="0.2">
      <c r="AE111" s="22"/>
    </row>
    <row r="112" spans="1:62" x14ac:dyDescent="0.2">
      <c r="AE112" s="22"/>
    </row>
    <row r="113" spans="31:31" x14ac:dyDescent="0.2">
      <c r="AE113" s="22"/>
    </row>
    <row r="114" spans="31:31" x14ac:dyDescent="0.2">
      <c r="AE114" s="22"/>
    </row>
    <row r="115" spans="31:31" x14ac:dyDescent="0.2">
      <c r="AE115" s="22"/>
    </row>
    <row r="116" spans="31:31" x14ac:dyDescent="0.2">
      <c r="AE116" s="22"/>
    </row>
    <row r="117" spans="31:31" x14ac:dyDescent="0.2">
      <c r="AE117" s="22"/>
    </row>
    <row r="118" spans="31:31" x14ac:dyDescent="0.2">
      <c r="AE118" s="22"/>
    </row>
    <row r="119" spans="31:31" x14ac:dyDescent="0.2">
      <c r="AE119" s="22"/>
    </row>
    <row r="120" spans="31:31" x14ac:dyDescent="0.2">
      <c r="AE120" s="22"/>
    </row>
    <row r="121" spans="31:31" x14ac:dyDescent="0.2">
      <c r="AE121" s="22"/>
    </row>
    <row r="122" spans="31:31" x14ac:dyDescent="0.2">
      <c r="AE122" s="22"/>
    </row>
    <row r="123" spans="31:31" x14ac:dyDescent="0.2">
      <c r="AE123" s="22"/>
    </row>
    <row r="124" spans="31:31" x14ac:dyDescent="0.2">
      <c r="AE124" s="22"/>
    </row>
    <row r="125" spans="31:31" x14ac:dyDescent="0.2">
      <c r="AE125" s="22"/>
    </row>
    <row r="126" spans="31:31" x14ac:dyDescent="0.2">
      <c r="AE126" s="22"/>
    </row>
    <row r="127" spans="31:31" x14ac:dyDescent="0.2">
      <c r="AE127" s="22"/>
    </row>
    <row r="128" spans="31:31" x14ac:dyDescent="0.2">
      <c r="AE128" s="22"/>
    </row>
    <row r="129" spans="31:31" x14ac:dyDescent="0.2">
      <c r="AE129" s="22"/>
    </row>
    <row r="130" spans="31:31" x14ac:dyDescent="0.2">
      <c r="AE130" s="22"/>
    </row>
    <row r="131" spans="31:31" x14ac:dyDescent="0.2">
      <c r="AE131" s="22"/>
    </row>
    <row r="132" spans="31:31" x14ac:dyDescent="0.2">
      <c r="AE132" s="22"/>
    </row>
    <row r="133" spans="31:31" x14ac:dyDescent="0.2">
      <c r="AE133" s="22"/>
    </row>
    <row r="134" spans="31:31" x14ac:dyDescent="0.2">
      <c r="AE134" s="22"/>
    </row>
    <row r="135" spans="31:31" x14ac:dyDescent="0.2">
      <c r="AE135" s="22"/>
    </row>
    <row r="136" spans="31:31" x14ac:dyDescent="0.2">
      <c r="AE136" s="22"/>
    </row>
    <row r="137" spans="31:31" x14ac:dyDescent="0.2">
      <c r="AE137" s="22"/>
    </row>
    <row r="138" spans="31:31" x14ac:dyDescent="0.2">
      <c r="AE138" s="22"/>
    </row>
    <row r="139" spans="31:31" x14ac:dyDescent="0.2">
      <c r="AE139" s="22"/>
    </row>
    <row r="140" spans="31:31" x14ac:dyDescent="0.2">
      <c r="AE140" s="22"/>
    </row>
    <row r="141" spans="31:31" x14ac:dyDescent="0.2">
      <c r="AE141" s="22"/>
    </row>
    <row r="142" spans="31:31" x14ac:dyDescent="0.2">
      <c r="AE142" s="22"/>
    </row>
    <row r="143" spans="31:31" x14ac:dyDescent="0.2">
      <c r="AE143" s="22"/>
    </row>
    <row r="144" spans="31:31" x14ac:dyDescent="0.2">
      <c r="AE144" s="22"/>
    </row>
    <row r="145" spans="31:31" x14ac:dyDescent="0.2">
      <c r="AE145" s="22"/>
    </row>
    <row r="146" spans="31:31" x14ac:dyDescent="0.2">
      <c r="AE146" s="22"/>
    </row>
    <row r="147" spans="31:31" x14ac:dyDescent="0.2">
      <c r="AE147" s="22"/>
    </row>
    <row r="148" spans="31:31" x14ac:dyDescent="0.2">
      <c r="AE148" s="22"/>
    </row>
    <row r="149" spans="31:31" x14ac:dyDescent="0.2">
      <c r="AE149" s="22"/>
    </row>
    <row r="150" spans="31:31" x14ac:dyDescent="0.2">
      <c r="AE150" s="22"/>
    </row>
    <row r="151" spans="31:31" x14ac:dyDescent="0.2">
      <c r="AE151" s="22"/>
    </row>
    <row r="152" spans="31:31" x14ac:dyDescent="0.2">
      <c r="AE152" s="22"/>
    </row>
    <row r="153" spans="31:31" x14ac:dyDescent="0.2">
      <c r="AE153" s="22"/>
    </row>
    <row r="154" spans="31:31" x14ac:dyDescent="0.2">
      <c r="AE154" s="22"/>
    </row>
    <row r="155" spans="31:31" x14ac:dyDescent="0.2">
      <c r="AE155" s="22"/>
    </row>
    <row r="156" spans="31:31" x14ac:dyDescent="0.2">
      <c r="AE156" s="22"/>
    </row>
    <row r="157" spans="31:31" x14ac:dyDescent="0.2">
      <c r="AE157" s="22"/>
    </row>
    <row r="158" spans="31:31" x14ac:dyDescent="0.2">
      <c r="AE158" s="22"/>
    </row>
    <row r="159" spans="31:31" x14ac:dyDescent="0.2">
      <c r="AE159" s="22"/>
    </row>
    <row r="160" spans="31:31" x14ac:dyDescent="0.2">
      <c r="AE160" s="22"/>
    </row>
    <row r="161" spans="31:31" x14ac:dyDescent="0.2">
      <c r="AE161" s="22"/>
    </row>
    <row r="162" spans="31:31" x14ac:dyDescent="0.2">
      <c r="AE162" s="22"/>
    </row>
    <row r="163" spans="31:31" x14ac:dyDescent="0.2">
      <c r="AE163" s="22"/>
    </row>
    <row r="164" spans="31:31" x14ac:dyDescent="0.2">
      <c r="AE164" s="22"/>
    </row>
    <row r="165" spans="31:31" x14ac:dyDescent="0.2">
      <c r="AE165" s="22"/>
    </row>
    <row r="166" spans="31:31" x14ac:dyDescent="0.2">
      <c r="AE166" s="22"/>
    </row>
    <row r="167" spans="31:31" x14ac:dyDescent="0.2">
      <c r="AE167" s="22"/>
    </row>
    <row r="168" spans="31:31" x14ac:dyDescent="0.2">
      <c r="AE168" s="22"/>
    </row>
    <row r="169" spans="31:31" x14ac:dyDescent="0.2">
      <c r="AE169" s="22"/>
    </row>
    <row r="170" spans="31:31" x14ac:dyDescent="0.2">
      <c r="AE170" s="22"/>
    </row>
    <row r="171" spans="31:31" x14ac:dyDescent="0.2">
      <c r="AE171" s="22"/>
    </row>
    <row r="172" spans="31:31" x14ac:dyDescent="0.2">
      <c r="AE172" s="22"/>
    </row>
    <row r="173" spans="31:31" x14ac:dyDescent="0.2">
      <c r="AE173" s="22"/>
    </row>
    <row r="174" spans="31:31" x14ac:dyDescent="0.2">
      <c r="AE174" s="22"/>
    </row>
    <row r="175" spans="31:31" x14ac:dyDescent="0.2">
      <c r="AE175" s="22"/>
    </row>
    <row r="176" spans="31:31" x14ac:dyDescent="0.2">
      <c r="AE176" s="22"/>
    </row>
    <row r="177" spans="31:31" x14ac:dyDescent="0.2">
      <c r="AE177" s="22"/>
    </row>
    <row r="178" spans="31:31" x14ac:dyDescent="0.2">
      <c r="AE178" s="22"/>
    </row>
    <row r="179" spans="31:31" x14ac:dyDescent="0.2">
      <c r="AE179" s="22"/>
    </row>
    <row r="180" spans="31:31" x14ac:dyDescent="0.2">
      <c r="AE180" s="22"/>
    </row>
    <row r="181" spans="31:31" x14ac:dyDescent="0.2">
      <c r="AE181" s="22"/>
    </row>
    <row r="182" spans="31:31" x14ac:dyDescent="0.2">
      <c r="AE182" s="22"/>
    </row>
    <row r="183" spans="31:31" x14ac:dyDescent="0.2">
      <c r="AE183" s="22"/>
    </row>
    <row r="184" spans="31:31" x14ac:dyDescent="0.2">
      <c r="AE184" s="22"/>
    </row>
    <row r="185" spans="31:31" x14ac:dyDescent="0.2">
      <c r="AE185" s="22"/>
    </row>
    <row r="186" spans="31:31" x14ac:dyDescent="0.2">
      <c r="AE186" s="22"/>
    </row>
    <row r="187" spans="31:31" x14ac:dyDescent="0.2">
      <c r="AE187" s="22"/>
    </row>
    <row r="188" spans="31:31" x14ac:dyDescent="0.2">
      <c r="AE188" s="22"/>
    </row>
    <row r="189" spans="31:31" x14ac:dyDescent="0.2">
      <c r="AE189" s="22"/>
    </row>
    <row r="190" spans="31:31" x14ac:dyDescent="0.2">
      <c r="AE190" s="22"/>
    </row>
    <row r="191" spans="31:31" x14ac:dyDescent="0.2">
      <c r="AE191" s="22"/>
    </row>
    <row r="192" spans="31:31" x14ac:dyDescent="0.2">
      <c r="AE192" s="22"/>
    </row>
    <row r="193" spans="31:31" x14ac:dyDescent="0.2">
      <c r="AE193" s="22"/>
    </row>
    <row r="194" spans="31:31" x14ac:dyDescent="0.2">
      <c r="AE194" s="22"/>
    </row>
    <row r="195" spans="31:31" x14ac:dyDescent="0.2">
      <c r="AE195" s="22"/>
    </row>
    <row r="196" spans="31:31" x14ac:dyDescent="0.2">
      <c r="AE196" s="22"/>
    </row>
    <row r="197" spans="31:31" x14ac:dyDescent="0.2">
      <c r="AE197" s="22"/>
    </row>
    <row r="198" spans="31:31" x14ac:dyDescent="0.2">
      <c r="AE198" s="22"/>
    </row>
    <row r="199" spans="31:31" x14ac:dyDescent="0.2">
      <c r="AE199" s="22"/>
    </row>
    <row r="200" spans="31:31" x14ac:dyDescent="0.2">
      <c r="AE200" s="22"/>
    </row>
    <row r="201" spans="31:31" x14ac:dyDescent="0.2">
      <c r="AE201" s="22"/>
    </row>
    <row r="202" spans="31:31" x14ac:dyDescent="0.2">
      <c r="AE202" s="22"/>
    </row>
    <row r="203" spans="31:31" x14ac:dyDescent="0.2">
      <c r="AE203" s="22"/>
    </row>
    <row r="204" spans="31:31" x14ac:dyDescent="0.2">
      <c r="AE204" s="22"/>
    </row>
    <row r="205" spans="31:31" x14ac:dyDescent="0.2">
      <c r="AE205" s="22"/>
    </row>
    <row r="206" spans="31:31" x14ac:dyDescent="0.2">
      <c r="AE206" s="22"/>
    </row>
    <row r="207" spans="31:31" x14ac:dyDescent="0.2">
      <c r="AE207" s="22"/>
    </row>
    <row r="208" spans="31:31" x14ac:dyDescent="0.2">
      <c r="AE208" s="22"/>
    </row>
    <row r="209" spans="31:31" x14ac:dyDescent="0.2">
      <c r="AE209" s="22"/>
    </row>
    <row r="210" spans="31:31" x14ac:dyDescent="0.2">
      <c r="AE210" s="22"/>
    </row>
    <row r="211" spans="31:31" x14ac:dyDescent="0.2">
      <c r="AE211" s="22"/>
    </row>
    <row r="212" spans="31:31" x14ac:dyDescent="0.2">
      <c r="AE212" s="22"/>
    </row>
    <row r="213" spans="31:31" x14ac:dyDescent="0.2">
      <c r="AE213" s="22"/>
    </row>
    <row r="214" spans="31:31" x14ac:dyDescent="0.2">
      <c r="AE214" s="22"/>
    </row>
    <row r="215" spans="31:31" x14ac:dyDescent="0.2">
      <c r="AE215" s="22"/>
    </row>
    <row r="216" spans="31:31" x14ac:dyDescent="0.2">
      <c r="AE216" s="22"/>
    </row>
    <row r="217" spans="31:31" x14ac:dyDescent="0.2">
      <c r="AE217" s="22"/>
    </row>
    <row r="218" spans="31:31" x14ac:dyDescent="0.2">
      <c r="AE218" s="22"/>
    </row>
    <row r="219" spans="31:31" x14ac:dyDescent="0.2">
      <c r="AE219" s="22"/>
    </row>
    <row r="220" spans="31:31" x14ac:dyDescent="0.2">
      <c r="AE220" s="22"/>
    </row>
    <row r="221" spans="31:31" x14ac:dyDescent="0.2">
      <c r="AE221" s="22"/>
    </row>
    <row r="222" spans="31:31" x14ac:dyDescent="0.2">
      <c r="AE222" s="22"/>
    </row>
    <row r="223" spans="31:31" x14ac:dyDescent="0.2">
      <c r="AE223" s="22"/>
    </row>
    <row r="224" spans="31:31" x14ac:dyDescent="0.2">
      <c r="AE224" s="22"/>
    </row>
    <row r="225" spans="31:31" x14ac:dyDescent="0.2">
      <c r="AE225" s="22"/>
    </row>
    <row r="226" spans="31:31" x14ac:dyDescent="0.2">
      <c r="AE226" s="22"/>
    </row>
    <row r="227" spans="31:31" x14ac:dyDescent="0.2">
      <c r="AE227" s="22"/>
    </row>
    <row r="228" spans="31:31" x14ac:dyDescent="0.2">
      <c r="AE228" s="22"/>
    </row>
    <row r="229" spans="31:31" x14ac:dyDescent="0.2">
      <c r="AE229" s="22"/>
    </row>
    <row r="230" spans="31:31" x14ac:dyDescent="0.2">
      <c r="AE230" s="22"/>
    </row>
    <row r="231" spans="31:31" x14ac:dyDescent="0.2">
      <c r="AE231" s="22"/>
    </row>
    <row r="232" spans="31:31" x14ac:dyDescent="0.2">
      <c r="AE232" s="22"/>
    </row>
    <row r="233" spans="31:31" x14ac:dyDescent="0.2">
      <c r="AE233" s="22"/>
    </row>
    <row r="234" spans="31:31" x14ac:dyDescent="0.2">
      <c r="AE234" s="22"/>
    </row>
    <row r="235" spans="31:31" x14ac:dyDescent="0.2">
      <c r="AE235" s="22"/>
    </row>
    <row r="236" spans="31:31" x14ac:dyDescent="0.2">
      <c r="AE236" s="22"/>
    </row>
    <row r="237" spans="31:31" x14ac:dyDescent="0.2">
      <c r="AE237" s="22"/>
    </row>
    <row r="238" spans="31:31" x14ac:dyDescent="0.2">
      <c r="AE238" s="22"/>
    </row>
    <row r="239" spans="31:31" x14ac:dyDescent="0.2">
      <c r="AE239" s="22"/>
    </row>
    <row r="240" spans="31:31" x14ac:dyDescent="0.2">
      <c r="AE240" s="22"/>
    </row>
    <row r="241" spans="31:31" x14ac:dyDescent="0.2">
      <c r="AE241" s="22"/>
    </row>
    <row r="242" spans="31:31" x14ac:dyDescent="0.2">
      <c r="AE242" s="22"/>
    </row>
    <row r="243" spans="31:31" x14ac:dyDescent="0.2">
      <c r="AE243" s="22"/>
    </row>
    <row r="244" spans="31:31" x14ac:dyDescent="0.2">
      <c r="AE244" s="22"/>
    </row>
    <row r="245" spans="31:31" x14ac:dyDescent="0.2">
      <c r="AE245" s="22"/>
    </row>
    <row r="246" spans="31:31" x14ac:dyDescent="0.2">
      <c r="AE246" s="22"/>
    </row>
    <row r="247" spans="31:31" x14ac:dyDescent="0.2">
      <c r="AE247" s="22"/>
    </row>
    <row r="248" spans="31:31" x14ac:dyDescent="0.2">
      <c r="AE248" s="22"/>
    </row>
    <row r="249" spans="31:31" x14ac:dyDescent="0.2">
      <c r="AE249" s="22"/>
    </row>
    <row r="250" spans="31:31" x14ac:dyDescent="0.2">
      <c r="AE250" s="22"/>
    </row>
    <row r="251" spans="31:31" x14ac:dyDescent="0.2">
      <c r="AE251" s="22"/>
    </row>
    <row r="252" spans="31:31" x14ac:dyDescent="0.2">
      <c r="AE252" s="22"/>
    </row>
    <row r="253" spans="31:31" x14ac:dyDescent="0.2">
      <c r="AE253" s="22"/>
    </row>
    <row r="254" spans="31:31" x14ac:dyDescent="0.2">
      <c r="AE254" s="22"/>
    </row>
    <row r="255" spans="31:31" x14ac:dyDescent="0.2">
      <c r="AE255" s="22"/>
    </row>
    <row r="256" spans="31:31" x14ac:dyDescent="0.2">
      <c r="AE256" s="22"/>
    </row>
    <row r="257" spans="31:31" x14ac:dyDescent="0.2">
      <c r="AE257" s="22"/>
    </row>
    <row r="258" spans="31:31" x14ac:dyDescent="0.2">
      <c r="AE258" s="22"/>
    </row>
    <row r="259" spans="31:31" x14ac:dyDescent="0.2">
      <c r="AE259" s="22"/>
    </row>
    <row r="260" spans="31:31" x14ac:dyDescent="0.2">
      <c r="AE260" s="22"/>
    </row>
    <row r="261" spans="31:31" x14ac:dyDescent="0.2">
      <c r="AE261" s="22"/>
    </row>
    <row r="262" spans="31:31" x14ac:dyDescent="0.2">
      <c r="AE262" s="22"/>
    </row>
    <row r="263" spans="31:31" x14ac:dyDescent="0.2">
      <c r="AE263" s="22"/>
    </row>
    <row r="264" spans="31:31" x14ac:dyDescent="0.2">
      <c r="AE264" s="22"/>
    </row>
    <row r="265" spans="31:31" x14ac:dyDescent="0.2">
      <c r="AE265" s="22"/>
    </row>
    <row r="266" spans="31:31" x14ac:dyDescent="0.2">
      <c r="AE266" s="22"/>
    </row>
    <row r="267" spans="31:31" x14ac:dyDescent="0.2">
      <c r="AE267" s="22"/>
    </row>
    <row r="268" spans="31:31" x14ac:dyDescent="0.2">
      <c r="AE268" s="22"/>
    </row>
    <row r="269" spans="31:31" x14ac:dyDescent="0.2">
      <c r="AE269" s="22"/>
    </row>
    <row r="270" spans="31:31" x14ac:dyDescent="0.2">
      <c r="AE270" s="22"/>
    </row>
    <row r="271" spans="31:31" x14ac:dyDescent="0.2">
      <c r="AE271" s="22"/>
    </row>
    <row r="272" spans="31:31" x14ac:dyDescent="0.2">
      <c r="AE272" s="22"/>
    </row>
    <row r="273" spans="31:31" x14ac:dyDescent="0.2">
      <c r="AE273" s="22"/>
    </row>
    <row r="274" spans="31:31" x14ac:dyDescent="0.2">
      <c r="AE274" s="22"/>
    </row>
    <row r="275" spans="31:31" x14ac:dyDescent="0.2">
      <c r="AE275" s="22"/>
    </row>
    <row r="276" spans="31:31" x14ac:dyDescent="0.2">
      <c r="AE276" s="22"/>
    </row>
    <row r="277" spans="31:31" x14ac:dyDescent="0.2">
      <c r="AE277" s="22"/>
    </row>
    <row r="278" spans="31:31" x14ac:dyDescent="0.2">
      <c r="AE278" s="22"/>
    </row>
    <row r="279" spans="31:31" x14ac:dyDescent="0.2">
      <c r="AE279" s="22"/>
    </row>
    <row r="280" spans="31:31" x14ac:dyDescent="0.2">
      <c r="AE280" s="22"/>
    </row>
    <row r="281" spans="31:31" x14ac:dyDescent="0.2">
      <c r="AE281" s="22"/>
    </row>
    <row r="282" spans="31:31" x14ac:dyDescent="0.2">
      <c r="AE282" s="22"/>
    </row>
    <row r="283" spans="31:31" x14ac:dyDescent="0.2">
      <c r="AE283" s="22"/>
    </row>
    <row r="284" spans="31:31" x14ac:dyDescent="0.2">
      <c r="AE284" s="22"/>
    </row>
    <row r="285" spans="31:31" x14ac:dyDescent="0.2">
      <c r="AE285" s="22"/>
    </row>
    <row r="286" spans="31:31" x14ac:dyDescent="0.2">
      <c r="AE286" s="22"/>
    </row>
    <row r="287" spans="31:31" x14ac:dyDescent="0.2">
      <c r="AE287" s="22"/>
    </row>
    <row r="288" spans="31:31" x14ac:dyDescent="0.2">
      <c r="AE288" s="22"/>
    </row>
    <row r="289" spans="31:31" x14ac:dyDescent="0.2">
      <c r="AE289" s="22"/>
    </row>
    <row r="290" spans="31:31" x14ac:dyDescent="0.2">
      <c r="AE290" s="22"/>
    </row>
    <row r="291" spans="31:31" x14ac:dyDescent="0.2">
      <c r="AE291" s="22"/>
    </row>
    <row r="292" spans="31:31" x14ac:dyDescent="0.2">
      <c r="AE292" s="22"/>
    </row>
    <row r="293" spans="31:31" x14ac:dyDescent="0.2">
      <c r="AE293" s="22"/>
    </row>
    <row r="294" spans="31:31" x14ac:dyDescent="0.2">
      <c r="AE294" s="22"/>
    </row>
    <row r="295" spans="31:31" x14ac:dyDescent="0.2">
      <c r="AE295" s="22"/>
    </row>
    <row r="296" spans="31:31" x14ac:dyDescent="0.2">
      <c r="AE296" s="22"/>
    </row>
    <row r="297" spans="31:31" x14ac:dyDescent="0.2">
      <c r="AE297" s="22"/>
    </row>
    <row r="298" spans="31:31" x14ac:dyDescent="0.2">
      <c r="AE298" s="22"/>
    </row>
    <row r="299" spans="31:31" x14ac:dyDescent="0.2">
      <c r="AE299" s="22"/>
    </row>
    <row r="300" spans="31:31" x14ac:dyDescent="0.2">
      <c r="AE300" s="22"/>
    </row>
    <row r="301" spans="31:31" x14ac:dyDescent="0.2">
      <c r="AE301" s="22"/>
    </row>
    <row r="302" spans="31:31" x14ac:dyDescent="0.2">
      <c r="AE302" s="22"/>
    </row>
    <row r="303" spans="31:31" x14ac:dyDescent="0.2">
      <c r="AE303" s="22"/>
    </row>
    <row r="304" spans="31:31" x14ac:dyDescent="0.2">
      <c r="AE304" s="22"/>
    </row>
    <row r="305" spans="31:31" x14ac:dyDescent="0.2">
      <c r="AE305" s="22"/>
    </row>
    <row r="306" spans="31:31" x14ac:dyDescent="0.2">
      <c r="AE306" s="22"/>
    </row>
    <row r="307" spans="31:31" x14ac:dyDescent="0.2">
      <c r="AE307" s="22"/>
    </row>
    <row r="308" spans="31:31" x14ac:dyDescent="0.2">
      <c r="AE308" s="22"/>
    </row>
    <row r="309" spans="31:31" x14ac:dyDescent="0.2">
      <c r="AE309" s="22"/>
    </row>
    <row r="310" spans="31:31" x14ac:dyDescent="0.2">
      <c r="AE310" s="22"/>
    </row>
    <row r="311" spans="31:31" x14ac:dyDescent="0.2">
      <c r="AE311" s="22"/>
    </row>
    <row r="312" spans="31:31" x14ac:dyDescent="0.2">
      <c r="AE312" s="22"/>
    </row>
    <row r="313" spans="31:31" x14ac:dyDescent="0.2">
      <c r="AE313" s="22"/>
    </row>
    <row r="314" spans="31:31" x14ac:dyDescent="0.2">
      <c r="AE314" s="22"/>
    </row>
    <row r="315" spans="31:31" x14ac:dyDescent="0.2">
      <c r="AE315" s="22"/>
    </row>
    <row r="316" spans="31:31" x14ac:dyDescent="0.2">
      <c r="AE316" s="22"/>
    </row>
    <row r="317" spans="31:31" x14ac:dyDescent="0.2">
      <c r="AE317" s="22"/>
    </row>
    <row r="318" spans="31:31" x14ac:dyDescent="0.2">
      <c r="AE318" s="22"/>
    </row>
    <row r="319" spans="31:31" x14ac:dyDescent="0.2">
      <c r="AE319" s="22"/>
    </row>
    <row r="320" spans="31:31" x14ac:dyDescent="0.2">
      <c r="AE320" s="22"/>
    </row>
    <row r="321" spans="31:31" x14ac:dyDescent="0.2">
      <c r="AE321" s="22"/>
    </row>
    <row r="322" spans="31:31" x14ac:dyDescent="0.2">
      <c r="AE322" s="22"/>
    </row>
    <row r="323" spans="31:31" x14ac:dyDescent="0.2">
      <c r="AE323" s="22"/>
    </row>
    <row r="324" spans="31:31" x14ac:dyDescent="0.2">
      <c r="AE324" s="22"/>
    </row>
    <row r="325" spans="31:31" x14ac:dyDescent="0.2">
      <c r="AE325" s="22"/>
    </row>
    <row r="326" spans="31:31" x14ac:dyDescent="0.2">
      <c r="AE326" s="22"/>
    </row>
    <row r="327" spans="31:31" x14ac:dyDescent="0.2">
      <c r="AE327" s="22"/>
    </row>
    <row r="328" spans="31:31" x14ac:dyDescent="0.2">
      <c r="AE328" s="22"/>
    </row>
    <row r="329" spans="31:31" x14ac:dyDescent="0.2">
      <c r="AE329" s="22"/>
    </row>
    <row r="330" spans="31:31" x14ac:dyDescent="0.2">
      <c r="AE330" s="22"/>
    </row>
    <row r="331" spans="31:31" x14ac:dyDescent="0.2">
      <c r="AE331" s="22"/>
    </row>
    <row r="332" spans="31:31" x14ac:dyDescent="0.2">
      <c r="AE332" s="22"/>
    </row>
    <row r="333" spans="31:31" x14ac:dyDescent="0.2">
      <c r="AE333" s="22"/>
    </row>
    <row r="334" spans="31:31" x14ac:dyDescent="0.2">
      <c r="AE334" s="22"/>
    </row>
    <row r="335" spans="31:31" x14ac:dyDescent="0.2">
      <c r="AE335" s="22"/>
    </row>
    <row r="336" spans="31:31" x14ac:dyDescent="0.2">
      <c r="AE336" s="22"/>
    </row>
    <row r="337" spans="31:31" x14ac:dyDescent="0.2">
      <c r="AE337" s="22"/>
    </row>
    <row r="338" spans="31:31" x14ac:dyDescent="0.2">
      <c r="AE338" s="22"/>
    </row>
    <row r="339" spans="31:31" x14ac:dyDescent="0.2">
      <c r="AE339" s="22"/>
    </row>
    <row r="340" spans="31:31" x14ac:dyDescent="0.2">
      <c r="AE340" s="22"/>
    </row>
    <row r="341" spans="31:31" x14ac:dyDescent="0.2">
      <c r="AE341" s="22"/>
    </row>
    <row r="342" spans="31:31" x14ac:dyDescent="0.2">
      <c r="AE342" s="22"/>
    </row>
    <row r="343" spans="31:31" x14ac:dyDescent="0.2">
      <c r="AE343" s="22"/>
    </row>
    <row r="344" spans="31:31" x14ac:dyDescent="0.2">
      <c r="AE344" s="22"/>
    </row>
    <row r="345" spans="31:31" x14ac:dyDescent="0.2">
      <c r="AE345" s="22"/>
    </row>
    <row r="346" spans="31:31" x14ac:dyDescent="0.2">
      <c r="AE346" s="22"/>
    </row>
    <row r="347" spans="31:31" x14ac:dyDescent="0.2">
      <c r="AE347" s="22"/>
    </row>
    <row r="348" spans="31:31" x14ac:dyDescent="0.2">
      <c r="AE348" s="22"/>
    </row>
    <row r="349" spans="31:31" x14ac:dyDescent="0.2">
      <c r="AE349" s="22"/>
    </row>
    <row r="350" spans="31:31" x14ac:dyDescent="0.2">
      <c r="AE350" s="22"/>
    </row>
    <row r="351" spans="31:31" x14ac:dyDescent="0.2">
      <c r="AE351" s="22"/>
    </row>
    <row r="352" spans="31:31" x14ac:dyDescent="0.2">
      <c r="AE352" s="22"/>
    </row>
    <row r="353" spans="31:31" x14ac:dyDescent="0.2">
      <c r="AE353" s="22"/>
    </row>
    <row r="354" spans="31:31" x14ac:dyDescent="0.2">
      <c r="AE354" s="22"/>
    </row>
    <row r="355" spans="31:31" x14ac:dyDescent="0.2">
      <c r="AE355" s="22"/>
    </row>
    <row r="356" spans="31:31" x14ac:dyDescent="0.2">
      <c r="AE356" s="22"/>
    </row>
    <row r="357" spans="31:31" x14ac:dyDescent="0.2">
      <c r="AE357" s="22"/>
    </row>
    <row r="358" spans="31:31" x14ac:dyDescent="0.2">
      <c r="AE358" s="22"/>
    </row>
    <row r="359" spans="31:31" x14ac:dyDescent="0.2">
      <c r="AE359" s="22"/>
    </row>
    <row r="360" spans="31:31" x14ac:dyDescent="0.2">
      <c r="AE360" s="22"/>
    </row>
    <row r="361" spans="31:31" x14ac:dyDescent="0.2">
      <c r="AE361" s="22"/>
    </row>
    <row r="362" spans="31:31" x14ac:dyDescent="0.2">
      <c r="AE362" s="22"/>
    </row>
    <row r="363" spans="31:31" x14ac:dyDescent="0.2">
      <c r="AE363" s="22"/>
    </row>
    <row r="364" spans="31:31" x14ac:dyDescent="0.2">
      <c r="AE364" s="22"/>
    </row>
    <row r="365" spans="31:31" x14ac:dyDescent="0.2">
      <c r="AE365" s="22"/>
    </row>
    <row r="366" spans="31:31" x14ac:dyDescent="0.2">
      <c r="AE366" s="22"/>
    </row>
    <row r="367" spans="31:31" x14ac:dyDescent="0.2">
      <c r="AE367" s="22"/>
    </row>
    <row r="368" spans="31:31" x14ac:dyDescent="0.2">
      <c r="AE368" s="22"/>
    </row>
    <row r="369" spans="31:31" x14ac:dyDescent="0.2">
      <c r="AE369" s="22"/>
    </row>
    <row r="370" spans="31:31" x14ac:dyDescent="0.2">
      <c r="AE370" s="22"/>
    </row>
    <row r="371" spans="31:31" x14ac:dyDescent="0.2">
      <c r="AE371" s="22"/>
    </row>
    <row r="372" spans="31:31" x14ac:dyDescent="0.2">
      <c r="AE372" s="22"/>
    </row>
    <row r="373" spans="31:31" x14ac:dyDescent="0.2">
      <c r="AE373" s="22"/>
    </row>
  </sheetData>
  <dataValidations count="2">
    <dataValidation type="list" allowBlank="1" showInputMessage="1" showErrorMessage="1" sqref="AC2">
      <formula1>#REF!</formula1>
    </dataValidation>
    <dataValidation type="list" allowBlank="1" showInputMessage="1" showErrorMessage="1" sqref="AD2 B2:AB2">
      <formula1>#REF!</formula1>
    </dataValidation>
  </dataValidations>
  <pageMargins left="0.75" right="0.75" top="1" bottom="1" header="0.5" footer="0.5"/>
  <pageSetup scale="5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69"/>
  <sheetViews>
    <sheetView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C98" sqref="AC98"/>
    </sheetView>
  </sheetViews>
  <sheetFormatPr defaultColWidth="11.42578125" defaultRowHeight="12.75" x14ac:dyDescent="0.2"/>
  <cols>
    <col min="1" max="1" width="45" style="21" customWidth="1"/>
    <col min="2" max="28" width="15.5703125" style="22" customWidth="1"/>
    <col min="29" max="29" width="15.5703125" style="172" customWidth="1"/>
    <col min="30" max="30" width="15.5703125" style="22" customWidth="1"/>
    <col min="31" max="31" width="2.28515625" style="1" customWidth="1"/>
    <col min="32" max="32" width="15.5703125" style="22" customWidth="1"/>
    <col min="33" max="16384" width="11.42578125" style="22"/>
  </cols>
  <sheetData>
    <row r="1" spans="1:62" x14ac:dyDescent="0.2">
      <c r="G1" s="22" t="s">
        <v>53</v>
      </c>
      <c r="AE1" s="22"/>
    </row>
    <row r="2" spans="1:62" s="26" customFormat="1" ht="15" x14ac:dyDescent="0.25">
      <c r="A2" s="97" t="s">
        <v>0</v>
      </c>
      <c r="B2" s="103" t="s">
        <v>66</v>
      </c>
      <c r="C2" s="103" t="s">
        <v>80</v>
      </c>
      <c r="D2" s="103" t="s">
        <v>68</v>
      </c>
      <c r="E2" s="103" t="s">
        <v>71</v>
      </c>
      <c r="F2" s="103" t="s">
        <v>66</v>
      </c>
      <c r="G2" s="103" t="s">
        <v>75</v>
      </c>
      <c r="H2" s="103" t="s">
        <v>80</v>
      </c>
      <c r="I2" s="103" t="s">
        <v>69</v>
      </c>
      <c r="J2" s="103" t="s">
        <v>69</v>
      </c>
      <c r="K2" s="103" t="s">
        <v>71</v>
      </c>
      <c r="L2" s="103" t="s">
        <v>81</v>
      </c>
      <c r="M2" s="103" t="s">
        <v>66</v>
      </c>
      <c r="N2" s="103" t="s">
        <v>82</v>
      </c>
      <c r="O2" s="103" t="s">
        <v>74</v>
      </c>
      <c r="P2" s="103" t="s">
        <v>67</v>
      </c>
      <c r="Q2" s="103" t="s">
        <v>51</v>
      </c>
      <c r="R2" s="103" t="s">
        <v>68</v>
      </c>
      <c r="S2" s="145" t="s">
        <v>82</v>
      </c>
      <c r="T2" s="103" t="s">
        <v>64</v>
      </c>
      <c r="U2" s="103" t="s">
        <v>66</v>
      </c>
      <c r="V2" s="103" t="s">
        <v>65</v>
      </c>
      <c r="W2" s="103" t="s">
        <v>76</v>
      </c>
      <c r="X2" s="103" t="s">
        <v>64</v>
      </c>
      <c r="Y2" s="103" t="s">
        <v>68</v>
      </c>
      <c r="Z2" s="103" t="s">
        <v>68</v>
      </c>
      <c r="AA2" s="103" t="s">
        <v>68</v>
      </c>
      <c r="AB2" s="103" t="s">
        <v>70</v>
      </c>
      <c r="AC2" s="146" t="s">
        <v>74</v>
      </c>
      <c r="AD2" s="103" t="s">
        <v>51</v>
      </c>
      <c r="AE2" s="23"/>
      <c r="AF2" s="135" t="s">
        <v>1</v>
      </c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</row>
    <row r="3" spans="1:62" ht="15.75" x14ac:dyDescent="0.25">
      <c r="A3" s="27"/>
      <c r="B3" s="28"/>
      <c r="C3" s="104"/>
      <c r="D3" s="104"/>
      <c r="E3" s="104"/>
      <c r="F3" s="104"/>
      <c r="G3" s="104"/>
      <c r="H3" s="104"/>
      <c r="I3" s="104"/>
      <c r="J3" s="137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37"/>
      <c r="W3" s="104"/>
      <c r="X3" s="104"/>
      <c r="Y3" s="104"/>
      <c r="Z3" s="104"/>
      <c r="AA3" s="104"/>
      <c r="AB3" s="104"/>
      <c r="AC3" s="147"/>
      <c r="AD3" s="104"/>
      <c r="AE3" s="29"/>
      <c r="AF3" s="28"/>
    </row>
    <row r="4" spans="1:62" s="26" customFormat="1" ht="64.5" x14ac:dyDescent="0.25">
      <c r="A4" s="97" t="s">
        <v>2</v>
      </c>
      <c r="B4" s="216" t="s">
        <v>179</v>
      </c>
      <c r="C4" s="216" t="s">
        <v>180</v>
      </c>
      <c r="D4" s="216" t="s">
        <v>181</v>
      </c>
      <c r="E4" s="216" t="s">
        <v>182</v>
      </c>
      <c r="F4" s="216" t="s">
        <v>183</v>
      </c>
      <c r="G4" s="216" t="s">
        <v>184</v>
      </c>
      <c r="H4" s="216" t="s">
        <v>185</v>
      </c>
      <c r="I4" s="216" t="s">
        <v>186</v>
      </c>
      <c r="J4" s="216" t="s">
        <v>187</v>
      </c>
      <c r="K4" s="216" t="s">
        <v>188</v>
      </c>
      <c r="L4" s="216" t="s">
        <v>189</v>
      </c>
      <c r="M4" s="216" t="s">
        <v>190</v>
      </c>
      <c r="N4" s="216" t="s">
        <v>191</v>
      </c>
      <c r="O4" s="216" t="s">
        <v>192</v>
      </c>
      <c r="P4" s="216" t="s">
        <v>193</v>
      </c>
      <c r="Q4" s="216" t="s">
        <v>194</v>
      </c>
      <c r="R4" s="216" t="s">
        <v>195</v>
      </c>
      <c r="S4" s="216" t="s">
        <v>196</v>
      </c>
      <c r="T4" s="216" t="s">
        <v>197</v>
      </c>
      <c r="U4" s="216" t="s">
        <v>198</v>
      </c>
      <c r="V4" s="216" t="s">
        <v>199</v>
      </c>
      <c r="W4" s="216" t="s">
        <v>200</v>
      </c>
      <c r="X4" s="216" t="s">
        <v>201</v>
      </c>
      <c r="Y4" s="216" t="s">
        <v>202</v>
      </c>
      <c r="Z4" s="216" t="s">
        <v>203</v>
      </c>
      <c r="AA4" s="216" t="s">
        <v>204</v>
      </c>
      <c r="AB4" s="216" t="s">
        <v>205</v>
      </c>
      <c r="AC4" s="217" t="s">
        <v>206</v>
      </c>
      <c r="AD4" s="216" t="s">
        <v>207</v>
      </c>
      <c r="AE4" s="30"/>
      <c r="AF4" s="18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</row>
    <row r="5" spans="1:62" ht="12.75" customHeight="1" x14ac:dyDescent="0.2">
      <c r="A5" s="2"/>
      <c r="B5" s="3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148"/>
      <c r="AD5" s="21"/>
      <c r="AE5" s="7"/>
      <c r="AF5" s="31"/>
    </row>
    <row r="6" spans="1:62" s="26" customFormat="1" ht="15" x14ac:dyDescent="0.25">
      <c r="A6" s="97" t="s">
        <v>3</v>
      </c>
      <c r="B6" s="19" t="s">
        <v>52</v>
      </c>
      <c r="C6" s="19" t="s">
        <v>150</v>
      </c>
      <c r="D6" s="24" t="s">
        <v>150</v>
      </c>
      <c r="E6" s="24" t="s">
        <v>150</v>
      </c>
      <c r="F6" s="19" t="s">
        <v>52</v>
      </c>
      <c r="G6" s="19" t="s">
        <v>150</v>
      </c>
      <c r="H6" s="19" t="s">
        <v>150</v>
      </c>
      <c r="I6" s="19" t="s">
        <v>150</v>
      </c>
      <c r="J6" s="19" t="s">
        <v>150</v>
      </c>
      <c r="K6" s="19" t="s">
        <v>150</v>
      </c>
      <c r="L6" s="19" t="s">
        <v>150</v>
      </c>
      <c r="M6" s="19" t="s">
        <v>52</v>
      </c>
      <c r="N6" s="19" t="s">
        <v>150</v>
      </c>
      <c r="O6" s="19" t="s">
        <v>150</v>
      </c>
      <c r="P6" s="19" t="s">
        <v>150</v>
      </c>
      <c r="Q6" s="19" t="s">
        <v>52</v>
      </c>
      <c r="R6" s="19" t="s">
        <v>150</v>
      </c>
      <c r="S6" s="19" t="s">
        <v>150</v>
      </c>
      <c r="T6" s="19" t="s">
        <v>150</v>
      </c>
      <c r="U6" s="19" t="s">
        <v>52</v>
      </c>
      <c r="V6" s="19" t="s">
        <v>150</v>
      </c>
      <c r="W6" s="19" t="s">
        <v>150</v>
      </c>
      <c r="X6" s="19" t="s">
        <v>150</v>
      </c>
      <c r="Y6" s="19" t="s">
        <v>150</v>
      </c>
      <c r="Z6" s="19" t="s">
        <v>150</v>
      </c>
      <c r="AA6" s="19" t="s">
        <v>150</v>
      </c>
      <c r="AB6" s="19" t="s">
        <v>52</v>
      </c>
      <c r="AC6" s="149" t="s">
        <v>150</v>
      </c>
      <c r="AD6" s="19" t="s">
        <v>52</v>
      </c>
      <c r="AE6" s="32"/>
      <c r="AF6" s="19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</row>
    <row r="7" spans="1:62" x14ac:dyDescent="0.2">
      <c r="A7" s="33" t="s">
        <v>4</v>
      </c>
      <c r="B7" s="34">
        <v>92255000</v>
      </c>
      <c r="C7" s="35">
        <v>20025000</v>
      </c>
      <c r="D7" s="35">
        <v>148035000</v>
      </c>
      <c r="E7" s="35">
        <v>189860000</v>
      </c>
      <c r="F7" s="35">
        <v>149645000</v>
      </c>
      <c r="G7" s="35">
        <v>14360000</v>
      </c>
      <c r="H7" s="35">
        <v>5160000</v>
      </c>
      <c r="I7" s="35">
        <v>148385000</v>
      </c>
      <c r="J7" s="35">
        <v>238135000</v>
      </c>
      <c r="K7" s="35">
        <v>21310000</v>
      </c>
      <c r="L7" s="35">
        <v>9305000</v>
      </c>
      <c r="M7" s="35">
        <v>54885000</v>
      </c>
      <c r="N7" s="35">
        <v>106211859</v>
      </c>
      <c r="O7" s="35">
        <v>64180000</v>
      </c>
      <c r="P7" s="35">
        <v>32000000</v>
      </c>
      <c r="Q7" s="35">
        <v>74995000</v>
      </c>
      <c r="R7" s="35">
        <v>72820000</v>
      </c>
      <c r="S7" s="35"/>
      <c r="T7" s="35">
        <v>86130000</v>
      </c>
      <c r="U7" s="35"/>
      <c r="V7" s="35"/>
      <c r="W7" s="35">
        <v>50830000</v>
      </c>
      <c r="X7" s="35">
        <v>125750000</v>
      </c>
      <c r="Y7" s="35"/>
      <c r="Z7" s="35"/>
      <c r="AA7" s="35"/>
      <c r="AB7" s="35">
        <v>85615000</v>
      </c>
      <c r="AC7" s="150">
        <v>500000000</v>
      </c>
      <c r="AD7" s="35">
        <v>74995000</v>
      </c>
      <c r="AE7" s="36"/>
      <c r="AF7" s="34">
        <f>SUM(B7:AD7)</f>
        <v>2364886859</v>
      </c>
    </row>
    <row r="8" spans="1:62" x14ac:dyDescent="0.2">
      <c r="A8" s="37" t="s">
        <v>5</v>
      </c>
      <c r="B8" s="34"/>
      <c r="C8" s="35">
        <v>5990000</v>
      </c>
      <c r="D8" s="35"/>
      <c r="E8" s="35">
        <v>75640000</v>
      </c>
      <c r="F8" s="35"/>
      <c r="G8" s="35">
        <v>13500000</v>
      </c>
      <c r="H8" s="35"/>
      <c r="I8" s="35">
        <v>47465000</v>
      </c>
      <c r="J8" s="35"/>
      <c r="K8" s="35"/>
      <c r="L8" s="35"/>
      <c r="M8" s="35"/>
      <c r="N8" s="35">
        <v>57028141</v>
      </c>
      <c r="O8" s="35"/>
      <c r="P8" s="35"/>
      <c r="Q8" s="35"/>
      <c r="R8" s="35"/>
      <c r="S8" s="35">
        <v>27585000</v>
      </c>
      <c r="T8" s="35">
        <v>1015000</v>
      </c>
      <c r="U8" s="35">
        <v>37940000</v>
      </c>
      <c r="V8" s="35">
        <v>17915000</v>
      </c>
      <c r="W8" s="35">
        <v>29880000</v>
      </c>
      <c r="X8" s="35">
        <v>70680000</v>
      </c>
      <c r="Y8" s="35">
        <v>13515330</v>
      </c>
      <c r="Z8" s="35">
        <v>12774563</v>
      </c>
      <c r="AA8" s="35">
        <v>6868390</v>
      </c>
      <c r="AB8" s="35"/>
      <c r="AC8" s="150"/>
      <c r="AD8" s="35"/>
      <c r="AE8" s="38"/>
      <c r="AF8" s="34">
        <f t="shared" ref="AF8:AF60" si="0">SUM(B8:AD8)</f>
        <v>417796424</v>
      </c>
    </row>
    <row r="9" spans="1:62" s="41" customFormat="1" x14ac:dyDescent="0.2">
      <c r="A9" s="39" t="s">
        <v>6</v>
      </c>
      <c r="B9" s="111">
        <f t="shared" ref="B9:AD9" si="1">B7+B8</f>
        <v>92255000</v>
      </c>
      <c r="C9" s="111">
        <f t="shared" si="1"/>
        <v>26015000</v>
      </c>
      <c r="D9" s="111">
        <f t="shared" si="1"/>
        <v>148035000</v>
      </c>
      <c r="E9" s="111">
        <f t="shared" si="1"/>
        <v>265500000</v>
      </c>
      <c r="F9" s="111">
        <f t="shared" si="1"/>
        <v>149645000</v>
      </c>
      <c r="G9" s="111">
        <f t="shared" si="1"/>
        <v>27860000</v>
      </c>
      <c r="H9" s="111">
        <f t="shared" si="1"/>
        <v>5160000</v>
      </c>
      <c r="I9" s="111">
        <f t="shared" si="1"/>
        <v>195850000</v>
      </c>
      <c r="J9" s="111">
        <f t="shared" si="1"/>
        <v>238135000</v>
      </c>
      <c r="K9" s="111">
        <f t="shared" si="1"/>
        <v>21310000</v>
      </c>
      <c r="L9" s="111">
        <f t="shared" si="1"/>
        <v>9305000</v>
      </c>
      <c r="M9" s="111">
        <f t="shared" si="1"/>
        <v>54885000</v>
      </c>
      <c r="N9" s="111">
        <f t="shared" si="1"/>
        <v>163240000</v>
      </c>
      <c r="O9" s="111">
        <f t="shared" si="1"/>
        <v>64180000</v>
      </c>
      <c r="P9" s="111">
        <f t="shared" si="1"/>
        <v>32000000</v>
      </c>
      <c r="Q9" s="111">
        <f t="shared" si="1"/>
        <v>74995000</v>
      </c>
      <c r="R9" s="111">
        <f t="shared" si="1"/>
        <v>72820000</v>
      </c>
      <c r="S9" s="111">
        <f t="shared" si="1"/>
        <v>27585000</v>
      </c>
      <c r="T9" s="111">
        <f t="shared" si="1"/>
        <v>87145000</v>
      </c>
      <c r="U9" s="111">
        <f t="shared" si="1"/>
        <v>37940000</v>
      </c>
      <c r="V9" s="111">
        <f t="shared" si="1"/>
        <v>17915000</v>
      </c>
      <c r="W9" s="111">
        <f t="shared" si="1"/>
        <v>80710000</v>
      </c>
      <c r="X9" s="111">
        <f t="shared" si="1"/>
        <v>196430000</v>
      </c>
      <c r="Y9" s="111">
        <f t="shared" si="1"/>
        <v>13515330</v>
      </c>
      <c r="Z9" s="111">
        <f t="shared" si="1"/>
        <v>12774563</v>
      </c>
      <c r="AA9" s="111">
        <f t="shared" si="1"/>
        <v>6868390</v>
      </c>
      <c r="AB9" s="111">
        <f t="shared" si="1"/>
        <v>85615000</v>
      </c>
      <c r="AC9" s="151">
        <f t="shared" si="1"/>
        <v>500000000</v>
      </c>
      <c r="AD9" s="111">
        <f t="shared" si="1"/>
        <v>74995000</v>
      </c>
      <c r="AE9" s="112"/>
      <c r="AF9" s="111">
        <f t="shared" si="0"/>
        <v>2782683283</v>
      </c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</row>
    <row r="10" spans="1:62" ht="12.75" customHeight="1" x14ac:dyDescent="0.2">
      <c r="A10" s="33"/>
      <c r="B10" s="113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52"/>
      <c r="AD10" s="114"/>
      <c r="AE10" s="115"/>
      <c r="AF10" s="136"/>
    </row>
    <row r="11" spans="1:62" s="43" customFormat="1" ht="15" x14ac:dyDescent="0.25">
      <c r="A11" s="98" t="s">
        <v>7</v>
      </c>
      <c r="B11" s="42" t="s">
        <v>8</v>
      </c>
      <c r="C11" s="42" t="s">
        <v>8</v>
      </c>
      <c r="D11" s="20" t="s">
        <v>8</v>
      </c>
      <c r="E11" s="20" t="s">
        <v>84</v>
      </c>
      <c r="F11" s="20" t="s">
        <v>8</v>
      </c>
      <c r="G11" s="20" t="s">
        <v>8</v>
      </c>
      <c r="H11" s="20" t="s">
        <v>84</v>
      </c>
      <c r="I11" s="20" t="s">
        <v>8</v>
      </c>
      <c r="J11" s="20" t="s">
        <v>8</v>
      </c>
      <c r="K11" s="20" t="s">
        <v>84</v>
      </c>
      <c r="L11" s="20" t="s">
        <v>8</v>
      </c>
      <c r="M11" s="20" t="s">
        <v>8</v>
      </c>
      <c r="N11" s="20" t="s">
        <v>8</v>
      </c>
      <c r="O11" s="20" t="s">
        <v>85</v>
      </c>
      <c r="P11" s="20" t="s">
        <v>151</v>
      </c>
      <c r="Q11" s="20" t="s">
        <v>8</v>
      </c>
      <c r="R11" s="20" t="s">
        <v>85</v>
      </c>
      <c r="S11" s="20" t="s">
        <v>8</v>
      </c>
      <c r="T11" s="20" t="s">
        <v>8</v>
      </c>
      <c r="U11" s="20" t="s">
        <v>8</v>
      </c>
      <c r="V11" s="20" t="s">
        <v>8</v>
      </c>
      <c r="W11" s="20" t="s">
        <v>8</v>
      </c>
      <c r="X11" s="20" t="s">
        <v>8</v>
      </c>
      <c r="Y11" s="20" t="s">
        <v>85</v>
      </c>
      <c r="Z11" s="20" t="s">
        <v>85</v>
      </c>
      <c r="AA11" s="20" t="s">
        <v>85</v>
      </c>
      <c r="AB11" s="20" t="s">
        <v>84</v>
      </c>
      <c r="AC11" s="153" t="s">
        <v>85</v>
      </c>
      <c r="AD11" s="20" t="s">
        <v>8</v>
      </c>
      <c r="AE11" s="5"/>
      <c r="AF11" s="14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</row>
    <row r="12" spans="1:62" s="47" customFormat="1" ht="15" x14ac:dyDescent="0.25">
      <c r="A12" s="99" t="s">
        <v>47</v>
      </c>
      <c r="B12" s="44">
        <v>40820</v>
      </c>
      <c r="C12" s="44">
        <v>40800</v>
      </c>
      <c r="D12" s="45">
        <v>40815</v>
      </c>
      <c r="E12" s="45">
        <v>40906</v>
      </c>
      <c r="F12" s="45">
        <v>41009</v>
      </c>
      <c r="G12" s="45">
        <v>40953</v>
      </c>
      <c r="H12" s="45">
        <v>40892</v>
      </c>
      <c r="I12" s="45">
        <v>40969</v>
      </c>
      <c r="J12" s="45">
        <v>40989</v>
      </c>
      <c r="K12" s="45">
        <v>40906</v>
      </c>
      <c r="L12" s="45">
        <v>40878</v>
      </c>
      <c r="M12" s="45">
        <v>40946</v>
      </c>
      <c r="N12" s="45">
        <v>40953</v>
      </c>
      <c r="O12" s="45">
        <v>40808</v>
      </c>
      <c r="P12" s="45">
        <v>40892</v>
      </c>
      <c r="Q12" s="45">
        <v>40892</v>
      </c>
      <c r="R12" s="45">
        <v>40898</v>
      </c>
      <c r="S12" s="45">
        <v>40953</v>
      </c>
      <c r="T12" s="45">
        <v>40834</v>
      </c>
      <c r="U12" s="45">
        <v>41059</v>
      </c>
      <c r="V12" s="45">
        <v>41065</v>
      </c>
      <c r="W12" s="45">
        <v>41061</v>
      </c>
      <c r="X12" s="45">
        <v>41108</v>
      </c>
      <c r="Y12" s="45">
        <v>41067</v>
      </c>
      <c r="Z12" s="45">
        <v>41067</v>
      </c>
      <c r="AA12" s="45">
        <v>41067</v>
      </c>
      <c r="AB12" s="45">
        <v>41115</v>
      </c>
      <c r="AC12" s="154">
        <v>41122</v>
      </c>
      <c r="AD12" s="45">
        <v>41052</v>
      </c>
      <c r="AE12" s="46"/>
      <c r="AF12" s="143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</row>
    <row r="13" spans="1:62" s="26" customFormat="1" ht="12.75" customHeight="1" thickBot="1" x14ac:dyDescent="0.25">
      <c r="A13" s="48"/>
      <c r="B13" s="49"/>
      <c r="C13" s="49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155"/>
      <c r="AD13" s="50"/>
      <c r="AE13" s="51"/>
      <c r="AF13" s="175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</row>
    <row r="14" spans="1:62" ht="15" x14ac:dyDescent="0.25">
      <c r="A14" s="95" t="s">
        <v>9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156"/>
      <c r="AD14" s="52"/>
      <c r="AE14" s="13"/>
      <c r="AF14" s="52"/>
    </row>
    <row r="15" spans="1:62" x14ac:dyDescent="0.2">
      <c r="A15" s="3" t="s">
        <v>10</v>
      </c>
      <c r="B15" s="53">
        <v>32253.29</v>
      </c>
      <c r="C15" s="53">
        <v>20700</v>
      </c>
      <c r="D15" s="109">
        <v>175910</v>
      </c>
      <c r="E15" s="109">
        <v>60131</v>
      </c>
      <c r="F15" s="109">
        <v>40053</v>
      </c>
      <c r="G15" s="109">
        <v>22986</v>
      </c>
      <c r="H15" s="109">
        <v>11750</v>
      </c>
      <c r="I15" s="109">
        <v>106500</v>
      </c>
      <c r="J15" s="109">
        <v>114456</v>
      </c>
      <c r="K15" s="109">
        <v>4927</v>
      </c>
      <c r="L15" s="109">
        <v>155000</v>
      </c>
      <c r="M15" s="109">
        <v>50000</v>
      </c>
      <c r="N15" s="109">
        <v>144057</v>
      </c>
      <c r="O15" s="109">
        <v>180000</v>
      </c>
      <c r="P15" s="109">
        <v>53500</v>
      </c>
      <c r="Q15" s="109">
        <v>67500</v>
      </c>
      <c r="R15" s="109">
        <v>100000</v>
      </c>
      <c r="S15" s="109">
        <v>24343</v>
      </c>
      <c r="T15" s="109">
        <v>56523</v>
      </c>
      <c r="U15" s="109">
        <v>34661</v>
      </c>
      <c r="V15" s="109">
        <v>28459.48</v>
      </c>
      <c r="W15" s="109">
        <v>58368</v>
      </c>
      <c r="X15" s="109">
        <v>122353</v>
      </c>
      <c r="Y15" s="109">
        <v>30000</v>
      </c>
      <c r="Z15" s="109">
        <v>30000</v>
      </c>
      <c r="AA15" s="109">
        <v>30000</v>
      </c>
      <c r="AB15" s="109">
        <v>63688</v>
      </c>
      <c r="AC15" s="157">
        <v>572591.06999999995</v>
      </c>
      <c r="AD15" s="109">
        <v>67500</v>
      </c>
      <c r="AE15" s="54"/>
      <c r="AF15" s="53">
        <f t="shared" si="0"/>
        <v>2458209.84</v>
      </c>
    </row>
    <row r="16" spans="1:62" x14ac:dyDescent="0.2">
      <c r="A16" s="3" t="s">
        <v>31</v>
      </c>
      <c r="B16" s="53"/>
      <c r="C16" s="53"/>
      <c r="D16" s="109"/>
      <c r="E16" s="109"/>
      <c r="F16" s="109"/>
      <c r="G16" s="53"/>
      <c r="I16" s="109"/>
      <c r="J16" s="109"/>
      <c r="K16" s="109"/>
      <c r="L16" s="109"/>
      <c r="M16" s="109"/>
      <c r="N16" s="109"/>
      <c r="O16" s="109"/>
      <c r="P16" s="109"/>
      <c r="Q16" s="109">
        <v>16906</v>
      </c>
      <c r="R16" s="109"/>
      <c r="S16" s="109"/>
      <c r="T16" s="109"/>
      <c r="U16" s="109"/>
      <c r="V16" s="109"/>
      <c r="W16" s="109"/>
      <c r="X16" s="109"/>
      <c r="Y16" s="109">
        <v>5585</v>
      </c>
      <c r="Z16" s="109">
        <v>5962</v>
      </c>
      <c r="AA16" s="109">
        <v>7173</v>
      </c>
      <c r="AB16" s="109">
        <v>13340</v>
      </c>
      <c r="AC16" s="157">
        <v>23415</v>
      </c>
      <c r="AD16" s="109">
        <v>16906</v>
      </c>
      <c r="AE16" s="54"/>
      <c r="AF16" s="53">
        <f t="shared" si="0"/>
        <v>89287</v>
      </c>
    </row>
    <row r="17" spans="1:32" x14ac:dyDescent="0.2">
      <c r="A17" s="3" t="s">
        <v>11</v>
      </c>
      <c r="B17" s="53">
        <v>48377.56</v>
      </c>
      <c r="C17" s="53">
        <v>39008</v>
      </c>
      <c r="D17" s="109">
        <v>175910</v>
      </c>
      <c r="E17" s="109">
        <v>142205</v>
      </c>
      <c r="F17" s="109">
        <v>65410</v>
      </c>
      <c r="G17" s="109">
        <v>50116</v>
      </c>
      <c r="H17" s="109">
        <v>28580</v>
      </c>
      <c r="I17" s="109"/>
      <c r="J17" s="109"/>
      <c r="K17" s="109">
        <v>10655</v>
      </c>
      <c r="L17" s="109">
        <v>137375</v>
      </c>
      <c r="M17" s="109">
        <v>41768</v>
      </c>
      <c r="N17" s="109">
        <v>83331</v>
      </c>
      <c r="O17" s="109">
        <v>67000</v>
      </c>
      <c r="P17" s="109">
        <v>48000</v>
      </c>
      <c r="Q17" s="109">
        <v>27248</v>
      </c>
      <c r="R17" s="109">
        <v>72820</v>
      </c>
      <c r="S17" s="109">
        <v>14082</v>
      </c>
      <c r="T17" s="109">
        <v>43616</v>
      </c>
      <c r="U17" s="109">
        <v>43607</v>
      </c>
      <c r="V17" s="109">
        <v>59542.06</v>
      </c>
      <c r="W17" s="109">
        <v>40489</v>
      </c>
      <c r="X17" s="109">
        <v>99215</v>
      </c>
      <c r="Y17" s="109">
        <v>35000</v>
      </c>
      <c r="Z17" s="109">
        <v>35000</v>
      </c>
      <c r="AA17" s="109">
        <v>35000</v>
      </c>
      <c r="AB17" s="109">
        <v>42808</v>
      </c>
      <c r="AC17" s="157">
        <v>283068.75</v>
      </c>
      <c r="AD17" s="109">
        <v>27248</v>
      </c>
      <c r="AE17" s="54"/>
      <c r="AF17" s="53">
        <f t="shared" si="0"/>
        <v>1796479.37</v>
      </c>
    </row>
    <row r="18" spans="1:32" x14ac:dyDescent="0.2">
      <c r="A18" s="3" t="s">
        <v>72</v>
      </c>
      <c r="B18" s="53"/>
      <c r="C18" s="53"/>
      <c r="D18" s="53"/>
      <c r="E18" s="53"/>
      <c r="F18" s="109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57"/>
      <c r="AD18" s="109"/>
      <c r="AE18" s="54"/>
      <c r="AF18" s="53">
        <f t="shared" si="0"/>
        <v>0</v>
      </c>
    </row>
    <row r="19" spans="1:32" x14ac:dyDescent="0.2">
      <c r="A19" s="3" t="s">
        <v>12</v>
      </c>
      <c r="B19" s="53">
        <v>1571.06</v>
      </c>
      <c r="C19" s="53">
        <v>3260</v>
      </c>
      <c r="D19" s="109">
        <v>3372</v>
      </c>
      <c r="E19" s="109">
        <v>2555</v>
      </c>
      <c r="F19" s="109">
        <v>1247</v>
      </c>
      <c r="G19" s="109">
        <v>3764</v>
      </c>
      <c r="H19" s="109">
        <v>3260</v>
      </c>
      <c r="I19" s="109">
        <v>4000</v>
      </c>
      <c r="J19" s="109">
        <v>5000</v>
      </c>
      <c r="K19" s="109">
        <v>205</v>
      </c>
      <c r="L19" s="109">
        <v>5207</v>
      </c>
      <c r="M19" s="109">
        <v>1255.25</v>
      </c>
      <c r="N19" s="109">
        <v>3644</v>
      </c>
      <c r="O19" s="109"/>
      <c r="P19" s="109">
        <v>1619</v>
      </c>
      <c r="Q19" s="109"/>
      <c r="R19" s="109">
        <v>2367</v>
      </c>
      <c r="S19" s="109">
        <v>616</v>
      </c>
      <c r="T19" s="109">
        <v>3010</v>
      </c>
      <c r="U19" s="109">
        <v>1249</v>
      </c>
      <c r="V19" s="109">
        <v>1873.8</v>
      </c>
      <c r="W19" s="109">
        <v>2256</v>
      </c>
      <c r="X19" s="109">
        <v>4260</v>
      </c>
      <c r="Y19" s="109"/>
      <c r="Z19" s="109"/>
      <c r="AA19" s="109"/>
      <c r="AB19" s="109">
        <v>2438</v>
      </c>
      <c r="AC19" s="157">
        <v>2178.84</v>
      </c>
      <c r="AD19" s="109"/>
      <c r="AE19" s="54"/>
      <c r="AF19" s="53">
        <f t="shared" si="0"/>
        <v>60207.95</v>
      </c>
    </row>
    <row r="20" spans="1:32" x14ac:dyDescent="0.2">
      <c r="A20" s="3" t="s">
        <v>13</v>
      </c>
      <c r="B20" s="53">
        <v>83.33</v>
      </c>
      <c r="C20" s="53">
        <v>500</v>
      </c>
      <c r="D20" s="109"/>
      <c r="E20" s="109">
        <v>1389</v>
      </c>
      <c r="F20" s="109">
        <v>208</v>
      </c>
      <c r="G20" s="109">
        <v>2500</v>
      </c>
      <c r="H20" s="109">
        <v>500</v>
      </c>
      <c r="I20" s="109">
        <v>1800</v>
      </c>
      <c r="J20" s="109">
        <v>1500</v>
      </c>
      <c r="K20" s="109">
        <v>111</v>
      </c>
      <c r="L20" s="109"/>
      <c r="M20" s="109">
        <v>500</v>
      </c>
      <c r="N20" s="109">
        <f>4619+1500+600</f>
        <v>6719</v>
      </c>
      <c r="O20" s="109"/>
      <c r="P20" s="109"/>
      <c r="Q20" s="109"/>
      <c r="R20" s="109"/>
      <c r="S20" s="109">
        <v>781</v>
      </c>
      <c r="T20" s="109">
        <v>1800</v>
      </c>
      <c r="U20" s="109">
        <v>633</v>
      </c>
      <c r="V20" s="109">
        <v>500</v>
      </c>
      <c r="W20" s="109">
        <v>9000</v>
      </c>
      <c r="X20" s="109">
        <v>4600</v>
      </c>
      <c r="Y20" s="109"/>
      <c r="Z20" s="109"/>
      <c r="AA20" s="109"/>
      <c r="AB20" s="109">
        <v>550</v>
      </c>
      <c r="AC20" s="157"/>
      <c r="AD20" s="109"/>
      <c r="AE20" s="54"/>
      <c r="AF20" s="53">
        <f t="shared" si="0"/>
        <v>33674.33</v>
      </c>
    </row>
    <row r="21" spans="1:32" x14ac:dyDescent="0.2">
      <c r="A21" s="3" t="s">
        <v>14</v>
      </c>
      <c r="B21" s="53"/>
      <c r="C21" s="53"/>
      <c r="D21" s="109">
        <v>60909</v>
      </c>
      <c r="E21" s="109"/>
      <c r="F21" s="109"/>
      <c r="G21" s="109"/>
      <c r="H21" s="109"/>
      <c r="I21" s="109">
        <v>35000</v>
      </c>
      <c r="J21" s="109"/>
      <c r="K21" s="109"/>
      <c r="L21" s="109"/>
      <c r="M21" s="109"/>
      <c r="N21" s="109"/>
      <c r="O21" s="109">
        <v>152000</v>
      </c>
      <c r="P21" s="109">
        <v>45000</v>
      </c>
      <c r="Q21" s="109"/>
      <c r="R21" s="109">
        <v>24644</v>
      </c>
      <c r="S21" s="109"/>
      <c r="T21" s="109">
        <v>20000</v>
      </c>
      <c r="U21" s="109"/>
      <c r="V21" s="109"/>
      <c r="W21" s="109"/>
      <c r="X21" s="109">
        <v>30000</v>
      </c>
      <c r="Y21" s="109"/>
      <c r="Z21" s="109"/>
      <c r="AA21" s="109"/>
      <c r="AB21" s="109"/>
      <c r="AC21" s="157">
        <v>150000</v>
      </c>
      <c r="AD21" s="109"/>
      <c r="AE21" s="54"/>
      <c r="AF21" s="53">
        <f t="shared" si="0"/>
        <v>517553</v>
      </c>
    </row>
    <row r="22" spans="1:32" x14ac:dyDescent="0.2">
      <c r="A22" s="3" t="s">
        <v>15</v>
      </c>
      <c r="B22" s="53"/>
      <c r="C22" s="53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57"/>
      <c r="AD22" s="109">
        <v>17500</v>
      </c>
      <c r="AE22" s="54"/>
      <c r="AF22" s="53">
        <f t="shared" si="0"/>
        <v>17500</v>
      </c>
    </row>
    <row r="23" spans="1:32" x14ac:dyDescent="0.2">
      <c r="A23" s="3" t="s">
        <v>16</v>
      </c>
      <c r="B23" s="53"/>
      <c r="C23" s="53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>
        <v>15000</v>
      </c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57"/>
      <c r="AD23" s="109"/>
      <c r="AE23" s="54"/>
      <c r="AF23" s="53">
        <f t="shared" si="0"/>
        <v>15000</v>
      </c>
    </row>
    <row r="24" spans="1:32" x14ac:dyDescent="0.2">
      <c r="A24" s="3" t="s">
        <v>26</v>
      </c>
      <c r="B24" s="53"/>
      <c r="C24" s="53"/>
      <c r="D24" s="109">
        <v>10000</v>
      </c>
      <c r="E24" s="109"/>
      <c r="F24" s="109"/>
      <c r="G24" s="109"/>
      <c r="H24" s="109"/>
      <c r="I24" s="109"/>
      <c r="J24" s="109"/>
      <c r="K24" s="109"/>
      <c r="L24" s="109">
        <v>2000</v>
      </c>
      <c r="M24" s="109"/>
      <c r="N24" s="109"/>
      <c r="O24" s="109">
        <v>3000</v>
      </c>
      <c r="P24" s="109">
        <v>1500</v>
      </c>
      <c r="Q24" s="109"/>
      <c r="R24" s="109">
        <v>5000</v>
      </c>
      <c r="S24" s="109"/>
      <c r="T24" s="109"/>
      <c r="U24" s="109"/>
      <c r="V24" s="109"/>
      <c r="W24" s="109"/>
      <c r="X24" s="109"/>
      <c r="Y24" s="109">
        <v>500</v>
      </c>
      <c r="Z24" s="109">
        <v>500</v>
      </c>
      <c r="AA24" s="109">
        <v>500</v>
      </c>
      <c r="AB24" s="109"/>
      <c r="AC24" s="157"/>
      <c r="AD24" s="109"/>
      <c r="AE24" s="54"/>
      <c r="AF24" s="53">
        <f t="shared" si="0"/>
        <v>23000</v>
      </c>
    </row>
    <row r="25" spans="1:32" x14ac:dyDescent="0.2">
      <c r="A25" s="3" t="s">
        <v>27</v>
      </c>
      <c r="B25" s="53"/>
      <c r="C25" s="53"/>
      <c r="D25" s="109">
        <v>7189</v>
      </c>
      <c r="E25" s="109"/>
      <c r="F25" s="109"/>
      <c r="G25" s="109"/>
      <c r="H25" s="109"/>
      <c r="I25" s="109"/>
      <c r="J25" s="109"/>
      <c r="K25" s="109"/>
      <c r="L25" s="109">
        <v>1500</v>
      </c>
      <c r="M25" s="109"/>
      <c r="N25" s="109"/>
      <c r="O25" s="109">
        <v>7500</v>
      </c>
      <c r="P25" s="109">
        <v>2500</v>
      </c>
      <c r="Q25" s="109"/>
      <c r="R25" s="109">
        <v>5063</v>
      </c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57"/>
      <c r="AD25" s="109"/>
      <c r="AE25" s="54"/>
      <c r="AF25" s="53">
        <f t="shared" si="0"/>
        <v>23752</v>
      </c>
    </row>
    <row r="26" spans="1:32" x14ac:dyDescent="0.2">
      <c r="A26" s="3" t="s">
        <v>17</v>
      </c>
      <c r="B26" s="53"/>
      <c r="C26" s="53">
        <v>1050</v>
      </c>
      <c r="D26" s="109"/>
      <c r="E26" s="109">
        <v>750</v>
      </c>
      <c r="F26" s="109"/>
      <c r="G26" s="109">
        <v>2288</v>
      </c>
      <c r="H26" s="109"/>
      <c r="I26" s="109">
        <v>1500</v>
      </c>
      <c r="J26" s="109">
        <v>500</v>
      </c>
      <c r="K26" s="109"/>
      <c r="L26" s="109"/>
      <c r="M26" s="109"/>
      <c r="N26" s="109">
        <v>1043</v>
      </c>
      <c r="O26" s="109"/>
      <c r="P26" s="109"/>
      <c r="Q26" s="109"/>
      <c r="R26" s="109"/>
      <c r="S26" s="109">
        <v>145</v>
      </c>
      <c r="T26" s="109"/>
      <c r="U26" s="109"/>
      <c r="V26" s="109">
        <v>2400</v>
      </c>
      <c r="W26" s="109">
        <v>1500</v>
      </c>
      <c r="X26" s="109">
        <v>200</v>
      </c>
      <c r="Y26" s="109"/>
      <c r="Z26" s="109"/>
      <c r="AA26" s="109"/>
      <c r="AB26" s="109"/>
      <c r="AC26" s="157"/>
      <c r="AD26" s="109"/>
      <c r="AE26" s="54"/>
      <c r="AF26" s="53">
        <f t="shared" si="0"/>
        <v>11376</v>
      </c>
    </row>
    <row r="27" spans="1:32" x14ac:dyDescent="0.2">
      <c r="A27" s="3" t="s">
        <v>18</v>
      </c>
      <c r="B27" s="53"/>
      <c r="C27" s="53">
        <v>3000</v>
      </c>
      <c r="D27" s="109">
        <v>10000</v>
      </c>
      <c r="E27" s="109">
        <v>3500</v>
      </c>
      <c r="F27" s="109"/>
      <c r="G27" s="109">
        <v>3500</v>
      </c>
      <c r="H27" s="109"/>
      <c r="I27" s="109">
        <v>3000</v>
      </c>
      <c r="J27" s="109"/>
      <c r="K27" s="109"/>
      <c r="L27" s="109"/>
      <c r="M27" s="109"/>
      <c r="N27" s="109">
        <v>3500</v>
      </c>
      <c r="O27" s="109"/>
      <c r="P27" s="109"/>
      <c r="Q27" s="109"/>
      <c r="R27" s="109">
        <v>7500</v>
      </c>
      <c r="S27" s="109"/>
      <c r="T27" s="109"/>
      <c r="U27" s="109"/>
      <c r="V27" s="109">
        <v>3500</v>
      </c>
      <c r="W27" s="109">
        <v>4000</v>
      </c>
      <c r="X27" s="109">
        <v>3500</v>
      </c>
      <c r="Y27" s="109"/>
      <c r="Z27" s="109"/>
      <c r="AA27" s="109"/>
      <c r="AB27" s="109"/>
      <c r="AC27" s="157"/>
      <c r="AD27" s="109"/>
      <c r="AE27" s="54"/>
      <c r="AF27" s="53">
        <f t="shared" si="0"/>
        <v>45000</v>
      </c>
    </row>
    <row r="28" spans="1:32" x14ac:dyDescent="0.2">
      <c r="A28" s="3" t="s">
        <v>19</v>
      </c>
      <c r="B28" s="53">
        <v>9500</v>
      </c>
      <c r="C28" s="53">
        <v>9500</v>
      </c>
      <c r="D28" s="109">
        <v>9500</v>
      </c>
      <c r="E28" s="109">
        <v>9500</v>
      </c>
      <c r="F28" s="109">
        <v>9500</v>
      </c>
      <c r="G28" s="109">
        <v>9500</v>
      </c>
      <c r="H28" s="109">
        <v>5160</v>
      </c>
      <c r="I28" s="109">
        <v>9500</v>
      </c>
      <c r="J28" s="109">
        <v>9500</v>
      </c>
      <c r="K28" s="109">
        <v>9500</v>
      </c>
      <c r="L28" s="109">
        <v>10590</v>
      </c>
      <c r="M28" s="109">
        <v>19000</v>
      </c>
      <c r="N28" s="109">
        <v>9500</v>
      </c>
      <c r="O28" s="109">
        <v>9500</v>
      </c>
      <c r="P28" s="109"/>
      <c r="Q28" s="109">
        <v>9500</v>
      </c>
      <c r="R28" s="109"/>
      <c r="S28" s="109">
        <v>9500</v>
      </c>
      <c r="T28" s="109">
        <v>9500</v>
      </c>
      <c r="U28" s="109">
        <v>19000</v>
      </c>
      <c r="V28" s="109">
        <v>9500</v>
      </c>
      <c r="W28" s="109">
        <v>14320</v>
      </c>
      <c r="X28" s="109">
        <v>19000</v>
      </c>
      <c r="Y28" s="109">
        <v>9500</v>
      </c>
      <c r="Z28" s="109">
        <v>11375</v>
      </c>
      <c r="AA28" s="109">
        <v>6868</v>
      </c>
      <c r="AB28" s="109">
        <v>9500</v>
      </c>
      <c r="AC28" s="157">
        <v>9500</v>
      </c>
      <c r="AD28" s="109">
        <v>9500</v>
      </c>
      <c r="AE28" s="54"/>
      <c r="AF28" s="53">
        <f t="shared" si="0"/>
        <v>285813</v>
      </c>
    </row>
    <row r="29" spans="1:32" x14ac:dyDescent="0.2">
      <c r="A29" s="3" t="s">
        <v>28</v>
      </c>
      <c r="B29" s="53"/>
      <c r="C29" s="53"/>
      <c r="D29" s="109">
        <v>37999</v>
      </c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>
        <v>18705</v>
      </c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57"/>
      <c r="AD29" s="109"/>
      <c r="AE29" s="54"/>
      <c r="AF29" s="53">
        <f t="shared" si="0"/>
        <v>56704</v>
      </c>
    </row>
    <row r="30" spans="1:32" x14ac:dyDescent="0.2">
      <c r="A30" s="3" t="s">
        <v>29</v>
      </c>
      <c r="B30" s="53"/>
      <c r="C30" s="53"/>
      <c r="D30" s="109">
        <v>50000</v>
      </c>
      <c r="E30" s="109"/>
      <c r="F30" s="109"/>
      <c r="G30" s="109"/>
      <c r="H30" s="109"/>
      <c r="I30" s="109"/>
      <c r="J30" s="109"/>
      <c r="K30" s="109"/>
      <c r="L30" s="109">
        <v>8500</v>
      </c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>
        <f>67577+5000</f>
        <v>72577</v>
      </c>
      <c r="Z30" s="109">
        <f>63873+5000</f>
        <v>68873</v>
      </c>
      <c r="AA30" s="109">
        <f>34342+5000</f>
        <v>39342</v>
      </c>
      <c r="AB30" s="109"/>
      <c r="AC30" s="157"/>
      <c r="AD30" s="109"/>
      <c r="AE30" s="54"/>
      <c r="AF30" s="53">
        <f t="shared" si="0"/>
        <v>239292</v>
      </c>
    </row>
    <row r="31" spans="1:32" x14ac:dyDescent="0.2">
      <c r="A31" s="3" t="s">
        <v>48</v>
      </c>
      <c r="B31" s="53"/>
      <c r="C31" s="53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57"/>
      <c r="AD31" s="109"/>
      <c r="AE31" s="54"/>
      <c r="AF31" s="53">
        <f t="shared" si="0"/>
        <v>0</v>
      </c>
    </row>
    <row r="32" spans="1:32" x14ac:dyDescent="0.2">
      <c r="A32" s="3" t="s">
        <v>30</v>
      </c>
      <c r="B32" s="53"/>
      <c r="C32" s="53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57"/>
      <c r="AD32" s="109"/>
      <c r="AE32" s="54"/>
      <c r="AF32" s="53">
        <f t="shared" si="0"/>
        <v>0</v>
      </c>
    </row>
    <row r="33" spans="1:62" x14ac:dyDescent="0.2">
      <c r="A33" s="3" t="s">
        <v>50</v>
      </c>
      <c r="B33" s="53"/>
      <c r="C33" s="53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57"/>
      <c r="AD33" s="109"/>
      <c r="AE33" s="54"/>
      <c r="AF33" s="53">
        <f t="shared" si="0"/>
        <v>0</v>
      </c>
    </row>
    <row r="34" spans="1:62" x14ac:dyDescent="0.2">
      <c r="A34" s="3" t="s">
        <v>49</v>
      </c>
      <c r="B34" s="53"/>
      <c r="C34" s="53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>
        <v>612000</v>
      </c>
      <c r="P34" s="109"/>
      <c r="Q34" s="109"/>
      <c r="R34" s="109"/>
      <c r="S34" s="109"/>
      <c r="T34" s="109"/>
      <c r="U34" s="53"/>
      <c r="V34" s="92"/>
      <c r="W34" s="109"/>
      <c r="X34" s="109"/>
      <c r="Y34" s="109"/>
      <c r="Z34" s="109"/>
      <c r="AA34" s="109"/>
      <c r="AB34" s="109"/>
      <c r="AC34" s="157"/>
      <c r="AD34" s="109"/>
      <c r="AE34" s="54"/>
      <c r="AF34" s="53">
        <f t="shared" si="0"/>
        <v>612000</v>
      </c>
    </row>
    <row r="35" spans="1:62" ht="13.5" thickBot="1" x14ac:dyDescent="0.25">
      <c r="A35" s="55" t="s">
        <v>20</v>
      </c>
      <c r="B35" s="56">
        <v>2371.7800000000002</v>
      </c>
      <c r="C35" s="56"/>
      <c r="D35" s="57"/>
      <c r="E35" s="57">
        <f>4628+242+1212</f>
        <v>6082</v>
      </c>
      <c r="F35" s="109">
        <v>2314</v>
      </c>
      <c r="G35" s="57"/>
      <c r="H35" s="57">
        <v>528</v>
      </c>
      <c r="I35" s="57">
        <f>4200+2200</f>
        <v>6400</v>
      </c>
      <c r="J35" s="57">
        <f>2000+1500</f>
        <v>3500</v>
      </c>
      <c r="K35" s="57">
        <f>372+19+97</f>
        <v>488</v>
      </c>
      <c r="L35" s="57"/>
      <c r="M35" s="57">
        <v>2199.81</v>
      </c>
      <c r="N35" s="57">
        <f>8554+477</f>
        <v>9031</v>
      </c>
      <c r="O35" s="57"/>
      <c r="P35" s="57">
        <f>4881+7500</f>
        <v>12381</v>
      </c>
      <c r="Q35" s="57">
        <f>905</f>
        <v>905</v>
      </c>
      <c r="R35" s="57"/>
      <c r="S35" s="57">
        <f>1446+300</f>
        <v>1746</v>
      </c>
      <c r="T35" s="57">
        <v>300</v>
      </c>
      <c r="U35" s="158">
        <v>6766</v>
      </c>
      <c r="V35" s="57"/>
      <c r="W35" s="57">
        <v>600</v>
      </c>
      <c r="X35" s="57">
        <v>300</v>
      </c>
      <c r="Y35" s="57"/>
      <c r="Z35" s="57"/>
      <c r="AA35" s="57"/>
      <c r="AB35" s="57">
        <v>1500</v>
      </c>
      <c r="AC35" s="159">
        <f>100000+15000+8193.71</f>
        <v>123193.70999999999</v>
      </c>
      <c r="AD35" s="57">
        <v>1001</v>
      </c>
      <c r="AE35" s="58"/>
      <c r="AF35" s="56">
        <f t="shared" si="0"/>
        <v>181607.3</v>
      </c>
    </row>
    <row r="36" spans="1:62" ht="15.75" thickBot="1" x14ac:dyDescent="0.3">
      <c r="A36" s="95" t="s">
        <v>54</v>
      </c>
      <c r="B36" s="106" t="s">
        <v>53</v>
      </c>
      <c r="C36" s="106" t="s">
        <v>53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76"/>
      <c r="AD36" s="105"/>
      <c r="AE36" s="58"/>
      <c r="AF36" s="105"/>
    </row>
    <row r="37" spans="1:62" x14ac:dyDescent="0.2">
      <c r="A37" s="3" t="s">
        <v>55</v>
      </c>
      <c r="B37" s="53">
        <v>25000</v>
      </c>
      <c r="C37" s="53">
        <v>26300</v>
      </c>
      <c r="D37" s="53">
        <v>52500</v>
      </c>
      <c r="E37" s="53">
        <v>106918</v>
      </c>
      <c r="F37" s="53">
        <v>35000</v>
      </c>
      <c r="G37" s="53">
        <v>22355</v>
      </c>
      <c r="H37" s="53">
        <v>11060</v>
      </c>
      <c r="I37" s="53">
        <v>75000</v>
      </c>
      <c r="J37" s="53">
        <v>25000</v>
      </c>
      <c r="K37" s="53">
        <v>8582</v>
      </c>
      <c r="L37" s="53"/>
      <c r="M37" s="53">
        <v>20000</v>
      </c>
      <c r="N37" s="53"/>
      <c r="O37" s="53"/>
      <c r="P37" s="53">
        <v>20000</v>
      </c>
      <c r="Q37" s="53"/>
      <c r="R37" s="53">
        <v>28000</v>
      </c>
      <c r="S37" s="53"/>
      <c r="T37" s="53">
        <v>36750</v>
      </c>
      <c r="U37" s="53">
        <v>17000</v>
      </c>
      <c r="V37" s="53">
        <v>22500</v>
      </c>
      <c r="W37" s="53">
        <v>50000</v>
      </c>
      <c r="X37" s="53">
        <v>95000</v>
      </c>
      <c r="Y37" s="53"/>
      <c r="Z37" s="53"/>
      <c r="AA37" s="53"/>
      <c r="AB37" s="53">
        <v>27000</v>
      </c>
      <c r="AC37" s="160"/>
      <c r="AD37" s="53">
        <v>28750</v>
      </c>
      <c r="AE37" s="61"/>
      <c r="AF37" s="53">
        <f t="shared" si="0"/>
        <v>732715</v>
      </c>
    </row>
    <row r="38" spans="1:62" x14ac:dyDescent="0.2">
      <c r="A38" s="3" t="s">
        <v>56</v>
      </c>
      <c r="B38" s="53">
        <v>23800</v>
      </c>
      <c r="C38" s="53">
        <v>25000</v>
      </c>
      <c r="D38" s="53">
        <v>31500</v>
      </c>
      <c r="E38" s="53">
        <v>73593</v>
      </c>
      <c r="F38" s="53">
        <v>36300</v>
      </c>
      <c r="G38" s="53"/>
      <c r="H38" s="53">
        <v>11000</v>
      </c>
      <c r="I38" s="53">
        <v>30300</v>
      </c>
      <c r="J38" s="53">
        <v>35500</v>
      </c>
      <c r="K38" s="53">
        <v>5907</v>
      </c>
      <c r="L38" s="53">
        <v>24750</v>
      </c>
      <c r="M38" s="53">
        <v>12600</v>
      </c>
      <c r="N38" s="53">
        <v>59453</v>
      </c>
      <c r="O38" s="53"/>
      <c r="P38" s="53"/>
      <c r="Q38" s="53"/>
      <c r="R38" s="53">
        <v>17500</v>
      </c>
      <c r="S38" s="53">
        <v>10047</v>
      </c>
      <c r="T38" s="53">
        <v>32900</v>
      </c>
      <c r="U38" s="53">
        <v>9200</v>
      </c>
      <c r="V38" s="53"/>
      <c r="W38" s="53"/>
      <c r="X38" s="53">
        <v>50400</v>
      </c>
      <c r="Y38" s="53"/>
      <c r="Z38" s="53"/>
      <c r="AA38" s="53"/>
      <c r="AB38" s="53">
        <v>24500</v>
      </c>
      <c r="AC38" s="160"/>
      <c r="AD38" s="53">
        <v>0</v>
      </c>
      <c r="AE38" s="61"/>
      <c r="AF38" s="53">
        <f t="shared" si="0"/>
        <v>514250</v>
      </c>
    </row>
    <row r="39" spans="1:62" ht="13.5" thickBot="1" x14ac:dyDescent="0.25">
      <c r="A39" s="4" t="s">
        <v>57</v>
      </c>
      <c r="B39" s="56">
        <v>30000</v>
      </c>
      <c r="C39" s="56"/>
      <c r="D39" s="56"/>
      <c r="E39" s="56"/>
      <c r="F39" s="56">
        <v>50000</v>
      </c>
      <c r="G39" s="56">
        <v>18000</v>
      </c>
      <c r="H39" s="56"/>
      <c r="I39" s="56">
        <v>15000</v>
      </c>
      <c r="J39" s="56">
        <v>15000</v>
      </c>
      <c r="K39" s="56"/>
      <c r="L39" s="56"/>
      <c r="M39" s="56">
        <v>18000</v>
      </c>
      <c r="N39" s="56">
        <v>55604</v>
      </c>
      <c r="O39" s="56"/>
      <c r="P39" s="56"/>
      <c r="Q39" s="56">
        <v>5000</v>
      </c>
      <c r="R39" s="56"/>
      <c r="S39" s="56">
        <v>9396</v>
      </c>
      <c r="T39" s="56">
        <v>10000</v>
      </c>
      <c r="U39" s="56">
        <v>15000</v>
      </c>
      <c r="V39" s="56"/>
      <c r="W39" s="56">
        <v>45000</v>
      </c>
      <c r="X39" s="56"/>
      <c r="Y39" s="56"/>
      <c r="Z39" s="56"/>
      <c r="AA39" s="56"/>
      <c r="AB39" s="56"/>
      <c r="AC39" s="161"/>
      <c r="AD39" s="56">
        <v>5000</v>
      </c>
      <c r="AE39" s="6"/>
      <c r="AF39" s="56">
        <f t="shared" si="0"/>
        <v>291000</v>
      </c>
    </row>
    <row r="40" spans="1:62" s="43" customFormat="1" ht="12.75" customHeight="1" thickBot="1" x14ac:dyDescent="0.25">
      <c r="A40" s="62" t="s">
        <v>35</v>
      </c>
      <c r="B40" s="63">
        <f>SUM(B15:B39)</f>
        <v>172957.02000000002</v>
      </c>
      <c r="C40" s="63">
        <f>SUM(C15:C39)</f>
        <v>128318</v>
      </c>
      <c r="D40" s="63">
        <f>SUM(D15:D39)</f>
        <v>624789</v>
      </c>
      <c r="E40" s="63">
        <f>SUM(E15:E39)</f>
        <v>406623</v>
      </c>
      <c r="F40" s="63">
        <f>SUM(F15:F39)</f>
        <v>240032</v>
      </c>
      <c r="G40" s="63">
        <f t="shared" ref="G40:AD40" si="2">SUM(G15:G39)</f>
        <v>135009</v>
      </c>
      <c r="H40" s="63">
        <f t="shared" si="2"/>
        <v>71838</v>
      </c>
      <c r="I40" s="63">
        <f t="shared" si="2"/>
        <v>288000</v>
      </c>
      <c r="J40" s="63">
        <f t="shared" si="2"/>
        <v>209956</v>
      </c>
      <c r="K40" s="63">
        <f t="shared" si="2"/>
        <v>40375</v>
      </c>
      <c r="L40" s="63">
        <f t="shared" si="2"/>
        <v>344922</v>
      </c>
      <c r="M40" s="63">
        <f t="shared" si="2"/>
        <v>165323.06</v>
      </c>
      <c r="N40" s="63">
        <f t="shared" si="2"/>
        <v>375882</v>
      </c>
      <c r="O40" s="63">
        <f t="shared" si="2"/>
        <v>1031000</v>
      </c>
      <c r="P40" s="63">
        <f t="shared" si="2"/>
        <v>184500</v>
      </c>
      <c r="Q40" s="63">
        <f t="shared" si="2"/>
        <v>142059</v>
      </c>
      <c r="R40" s="63">
        <f t="shared" si="2"/>
        <v>281599</v>
      </c>
      <c r="S40" s="63">
        <f t="shared" si="2"/>
        <v>70656</v>
      </c>
      <c r="T40" s="63">
        <f t="shared" si="2"/>
        <v>214399</v>
      </c>
      <c r="U40" s="63">
        <f>SUM(U15:U39)</f>
        <v>147116</v>
      </c>
      <c r="V40" s="63">
        <f t="shared" si="2"/>
        <v>128275.34</v>
      </c>
      <c r="W40" s="63">
        <f t="shared" si="2"/>
        <v>225533</v>
      </c>
      <c r="X40" s="63">
        <f t="shared" si="2"/>
        <v>428828</v>
      </c>
      <c r="Y40" s="63">
        <f t="shared" si="2"/>
        <v>153162</v>
      </c>
      <c r="Z40" s="63">
        <f t="shared" si="2"/>
        <v>151710</v>
      </c>
      <c r="AA40" s="63">
        <f t="shared" si="2"/>
        <v>118883</v>
      </c>
      <c r="AB40" s="63">
        <f>SUM(AB15:AB39)</f>
        <v>185324</v>
      </c>
      <c r="AC40" s="63">
        <f>SUM(AC15:AC39)</f>
        <v>1163947.3699999999</v>
      </c>
      <c r="AD40" s="63">
        <f t="shared" si="2"/>
        <v>173405</v>
      </c>
      <c r="AE40" s="64"/>
      <c r="AF40" s="63">
        <f t="shared" si="0"/>
        <v>8004420.79</v>
      </c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</row>
    <row r="41" spans="1:62" ht="15.75" thickBot="1" x14ac:dyDescent="0.3">
      <c r="A41" s="96" t="s">
        <v>33</v>
      </c>
      <c r="B41" s="116"/>
      <c r="C41" s="116"/>
      <c r="D41" s="116">
        <f>7500+7500</f>
        <v>15000</v>
      </c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>
        <v>7500</v>
      </c>
      <c r="S41" s="116"/>
      <c r="T41" s="126"/>
      <c r="U41" s="162"/>
      <c r="V41" s="163"/>
      <c r="W41" s="116"/>
      <c r="X41" s="116"/>
      <c r="Y41" s="116"/>
      <c r="Z41" s="116"/>
      <c r="AA41" s="116"/>
      <c r="AB41" s="116"/>
      <c r="AC41" s="164"/>
      <c r="AD41" s="116"/>
      <c r="AE41" s="117"/>
      <c r="AF41" s="116">
        <f t="shared" si="0"/>
        <v>22500</v>
      </c>
    </row>
    <row r="42" spans="1:62" s="47" customFormat="1" ht="13.5" thickBot="1" x14ac:dyDescent="0.25">
      <c r="A42" s="65" t="s">
        <v>34</v>
      </c>
      <c r="B42" s="56">
        <f>SUM(B40:B41)</f>
        <v>172957.02000000002</v>
      </c>
      <c r="C42" s="56">
        <f>SUM(C40:C41)</f>
        <v>128318</v>
      </c>
      <c r="D42" s="56">
        <f>SUM(D40:D41)</f>
        <v>639789</v>
      </c>
      <c r="E42" s="56">
        <f>SUM(E40:E41)</f>
        <v>406623</v>
      </c>
      <c r="F42" s="56">
        <f>SUM(F40:F41)</f>
        <v>240032</v>
      </c>
      <c r="G42" s="56">
        <f t="shared" ref="G42:AA42" si="3">SUM(G40:G41)</f>
        <v>135009</v>
      </c>
      <c r="H42" s="56">
        <f t="shared" si="3"/>
        <v>71838</v>
      </c>
      <c r="I42" s="56">
        <f t="shared" si="3"/>
        <v>288000</v>
      </c>
      <c r="J42" s="56">
        <f t="shared" si="3"/>
        <v>209956</v>
      </c>
      <c r="K42" s="56">
        <f t="shared" si="3"/>
        <v>40375</v>
      </c>
      <c r="L42" s="56">
        <f t="shared" si="3"/>
        <v>344922</v>
      </c>
      <c r="M42" s="56">
        <f t="shared" si="3"/>
        <v>165323.06</v>
      </c>
      <c r="N42" s="56">
        <f t="shared" si="3"/>
        <v>375882</v>
      </c>
      <c r="O42" s="56">
        <f t="shared" si="3"/>
        <v>1031000</v>
      </c>
      <c r="P42" s="56">
        <f t="shared" si="3"/>
        <v>184500</v>
      </c>
      <c r="Q42" s="56">
        <f t="shared" si="3"/>
        <v>142059</v>
      </c>
      <c r="R42" s="56">
        <f t="shared" si="3"/>
        <v>289099</v>
      </c>
      <c r="S42" s="56">
        <f t="shared" si="3"/>
        <v>70656</v>
      </c>
      <c r="T42" s="56">
        <f t="shared" si="3"/>
        <v>214399</v>
      </c>
      <c r="U42" s="56">
        <f t="shared" si="3"/>
        <v>147116</v>
      </c>
      <c r="V42" s="56">
        <f t="shared" si="3"/>
        <v>128275.34</v>
      </c>
      <c r="W42" s="56">
        <f t="shared" si="3"/>
        <v>225533</v>
      </c>
      <c r="X42" s="56">
        <f t="shared" si="3"/>
        <v>428828</v>
      </c>
      <c r="Y42" s="56">
        <f t="shared" si="3"/>
        <v>153162</v>
      </c>
      <c r="Z42" s="56">
        <f t="shared" si="3"/>
        <v>151710</v>
      </c>
      <c r="AA42" s="56">
        <f t="shared" si="3"/>
        <v>118883</v>
      </c>
      <c r="AB42" s="56">
        <f>SUM(AB40:AB41)</f>
        <v>185324</v>
      </c>
      <c r="AC42" s="56">
        <f>SUM(AC40:AC41)</f>
        <v>1163947.3699999999</v>
      </c>
      <c r="AD42" s="56">
        <f>SUM(AD40:AD41)</f>
        <v>173405</v>
      </c>
      <c r="AE42" s="118"/>
      <c r="AF42" s="56">
        <f t="shared" si="0"/>
        <v>8026920.79</v>
      </c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</row>
    <row r="43" spans="1:62" ht="13.5" thickBot="1" x14ac:dyDescent="0.25">
      <c r="A43" s="25"/>
      <c r="B43" s="31"/>
      <c r="C43" s="31"/>
      <c r="D43" s="3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148"/>
      <c r="AD43" s="21"/>
      <c r="AE43" s="7"/>
      <c r="AF43" s="31"/>
    </row>
    <row r="44" spans="1:62" x14ac:dyDescent="0.2">
      <c r="A44" s="12" t="s">
        <v>58</v>
      </c>
      <c r="B44" s="105"/>
      <c r="C44" s="105"/>
      <c r="D44" s="105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65"/>
      <c r="AD44" s="108"/>
      <c r="AE44" s="13"/>
      <c r="AF44" s="105"/>
    </row>
    <row r="45" spans="1:62" x14ac:dyDescent="0.2">
      <c r="A45" s="3" t="s">
        <v>59</v>
      </c>
      <c r="B45" s="119">
        <v>39045.620000000003</v>
      </c>
      <c r="C45" s="119">
        <v>10406</v>
      </c>
      <c r="D45" s="119">
        <v>87955</v>
      </c>
      <c r="E45" s="139"/>
      <c r="F45" s="139">
        <v>74823</v>
      </c>
      <c r="G45" s="139"/>
      <c r="H45" s="139"/>
      <c r="I45" s="139"/>
      <c r="J45" s="139"/>
      <c r="K45" s="139"/>
      <c r="L45" s="139">
        <v>97703</v>
      </c>
      <c r="M45" s="139">
        <v>52140.75</v>
      </c>
      <c r="N45" s="139">
        <v>40810</v>
      </c>
      <c r="O45" s="139"/>
      <c r="P45" s="139">
        <v>131200</v>
      </c>
      <c r="Q45" s="139"/>
      <c r="R45" s="139"/>
      <c r="S45" s="139">
        <v>6896.25</v>
      </c>
      <c r="T45" s="139"/>
      <c r="U45" s="139">
        <v>37940</v>
      </c>
      <c r="V45" s="139">
        <v>17915</v>
      </c>
      <c r="W45" s="139"/>
      <c r="X45" s="139"/>
      <c r="Y45" s="139"/>
      <c r="Z45" s="139"/>
      <c r="AA45" s="139"/>
      <c r="AB45" s="139"/>
      <c r="AC45" s="166"/>
      <c r="AD45" s="139"/>
      <c r="AE45" s="7"/>
      <c r="AF45" s="119">
        <f t="shared" si="0"/>
        <v>596834.62</v>
      </c>
    </row>
    <row r="46" spans="1:62" x14ac:dyDescent="0.2">
      <c r="A46" s="3" t="s">
        <v>60</v>
      </c>
      <c r="B46" s="31"/>
      <c r="C46" s="31"/>
      <c r="D46" s="31"/>
      <c r="E46" s="21">
        <v>147225</v>
      </c>
      <c r="F46" s="21"/>
      <c r="G46" s="139"/>
      <c r="H46" s="21">
        <v>16174</v>
      </c>
      <c r="I46" s="21"/>
      <c r="J46" s="21"/>
      <c r="K46" s="139">
        <v>54298</v>
      </c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66"/>
      <c r="AD46" s="139"/>
      <c r="AE46" s="7"/>
      <c r="AF46" s="119">
        <f t="shared" si="0"/>
        <v>217697</v>
      </c>
    </row>
    <row r="47" spans="1:62" x14ac:dyDescent="0.2">
      <c r="A47" s="3" t="s">
        <v>61</v>
      </c>
      <c r="B47" s="119">
        <v>430656.25</v>
      </c>
      <c r="C47" s="119">
        <v>115425</v>
      </c>
      <c r="D47" s="119">
        <v>556919</v>
      </c>
      <c r="E47" s="139">
        <v>132750</v>
      </c>
      <c r="F47" s="139">
        <v>652688</v>
      </c>
      <c r="G47" s="139">
        <v>107347.5</v>
      </c>
      <c r="H47" s="139">
        <v>62962</v>
      </c>
      <c r="I47" s="109">
        <v>586672</v>
      </c>
      <c r="J47" s="139">
        <v>865053</v>
      </c>
      <c r="K47" s="139">
        <v>114575</v>
      </c>
      <c r="L47" s="139">
        <v>139575</v>
      </c>
      <c r="M47" s="139">
        <v>186909.25</v>
      </c>
      <c r="N47" s="139">
        <v>583737</v>
      </c>
      <c r="O47" s="139"/>
      <c r="P47" s="139"/>
      <c r="Q47" s="139">
        <v>74995</v>
      </c>
      <c r="R47" s="139"/>
      <c r="S47" s="139">
        <v>99362.5</v>
      </c>
      <c r="T47" s="139">
        <v>391245</v>
      </c>
      <c r="U47" s="139">
        <v>154580</v>
      </c>
      <c r="V47" s="139">
        <v>68105.7</v>
      </c>
      <c r="W47" s="139">
        <v>354770.5</v>
      </c>
      <c r="X47" s="139">
        <v>824370</v>
      </c>
      <c r="Y47" s="139"/>
      <c r="Z47" s="139"/>
      <c r="AA47" s="139"/>
      <c r="AB47" s="139">
        <v>422268</v>
      </c>
      <c r="AC47" s="166"/>
      <c r="AD47" s="139">
        <v>74995</v>
      </c>
      <c r="AE47" s="7"/>
      <c r="AF47" s="119">
        <f t="shared" si="0"/>
        <v>6999960.7000000002</v>
      </c>
    </row>
    <row r="48" spans="1:62" x14ac:dyDescent="0.2">
      <c r="A48" s="3" t="s">
        <v>62</v>
      </c>
      <c r="B48" s="31"/>
      <c r="C48" s="31"/>
      <c r="D48" s="119">
        <v>30000</v>
      </c>
      <c r="E48" s="21"/>
      <c r="F48" s="21"/>
      <c r="G48" s="139"/>
      <c r="H48" s="21"/>
      <c r="J48" s="21"/>
      <c r="K48" s="21">
        <v>9590</v>
      </c>
      <c r="L48" s="139"/>
      <c r="M48" s="139"/>
      <c r="N48" s="139"/>
      <c r="O48" s="139"/>
      <c r="P48" s="139"/>
      <c r="Q48" s="139"/>
      <c r="R48" s="139">
        <v>65000</v>
      </c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66"/>
      <c r="AD48" s="139"/>
      <c r="AE48" s="7"/>
      <c r="AF48" s="119">
        <f t="shared" si="0"/>
        <v>104590</v>
      </c>
    </row>
    <row r="49" spans="1:62" x14ac:dyDescent="0.2">
      <c r="A49" s="3" t="s">
        <v>63</v>
      </c>
      <c r="B49" s="119">
        <v>23764.379999999997</v>
      </c>
      <c r="C49" s="119">
        <v>3070</v>
      </c>
      <c r="D49" s="119">
        <v>117640</v>
      </c>
      <c r="E49" s="139">
        <v>58410</v>
      </c>
      <c r="F49" s="139">
        <v>21090</v>
      </c>
      <c r="G49" s="139">
        <v>8265.9199999999983</v>
      </c>
      <c r="H49" s="139">
        <v>50836</v>
      </c>
      <c r="I49" s="139">
        <v>33857</v>
      </c>
      <c r="J49" s="139">
        <v>27128</v>
      </c>
      <c r="K49" s="139"/>
      <c r="L49" s="139">
        <v>41873</v>
      </c>
      <c r="M49" s="139">
        <v>11873</v>
      </c>
      <c r="N49" s="139">
        <v>37254</v>
      </c>
      <c r="O49" s="139"/>
      <c r="P49" s="139">
        <v>5500</v>
      </c>
      <c r="Q49" s="139">
        <v>3906</v>
      </c>
      <c r="R49" s="139">
        <v>7820</v>
      </c>
      <c r="S49" s="139">
        <v>7498.8899999999994</v>
      </c>
      <c r="T49" s="139">
        <v>19546.75</v>
      </c>
      <c r="U49" s="139">
        <v>7822</v>
      </c>
      <c r="V49" s="139">
        <v>5415</v>
      </c>
      <c r="W49" s="139">
        <v>17318.099999999999</v>
      </c>
      <c r="X49" s="139">
        <v>25044.75</v>
      </c>
      <c r="Y49" s="139"/>
      <c r="Z49" s="139"/>
      <c r="AA49" s="139"/>
      <c r="AB49" s="139"/>
      <c r="AC49" s="166"/>
      <c r="AD49" s="139">
        <v>4034</v>
      </c>
      <c r="AE49" s="7"/>
      <c r="AF49" s="119">
        <f t="shared" si="0"/>
        <v>538966.79</v>
      </c>
    </row>
    <row r="50" spans="1:62" ht="13.5" thickBot="1" x14ac:dyDescent="0.25">
      <c r="A50" s="10" t="s">
        <v>22</v>
      </c>
      <c r="B50" s="56">
        <v>37000</v>
      </c>
      <c r="C50" s="56">
        <v>20812</v>
      </c>
      <c r="D50" s="56">
        <v>50000</v>
      </c>
      <c r="E50" s="57"/>
      <c r="F50" s="57">
        <v>30000</v>
      </c>
      <c r="G50" s="57">
        <v>21716</v>
      </c>
      <c r="H50" s="57"/>
      <c r="I50" s="57">
        <v>29378</v>
      </c>
      <c r="J50" s="57">
        <v>35720</v>
      </c>
      <c r="K50" s="57"/>
      <c r="L50" s="57">
        <v>95000</v>
      </c>
      <c r="M50" s="57">
        <v>30000</v>
      </c>
      <c r="N50" s="57">
        <v>64500</v>
      </c>
      <c r="O50" s="57"/>
      <c r="P50" s="57"/>
      <c r="Q50" s="57">
        <f>25000+5000</f>
        <v>30000</v>
      </c>
      <c r="R50" s="57">
        <v>20000</v>
      </c>
      <c r="S50" s="57">
        <v>11000</v>
      </c>
      <c r="T50" s="139">
        <v>21786.25</v>
      </c>
      <c r="U50" s="139">
        <v>30000</v>
      </c>
      <c r="V50" s="139">
        <v>12500</v>
      </c>
      <c r="W50" s="139">
        <v>47013.99</v>
      </c>
      <c r="X50" s="139">
        <v>34375.25</v>
      </c>
      <c r="Y50" s="139"/>
      <c r="Z50" s="139"/>
      <c r="AA50" s="139"/>
      <c r="AB50" s="139"/>
      <c r="AC50" s="166">
        <v>265407.53000000003</v>
      </c>
      <c r="AD50" s="139">
        <v>30000</v>
      </c>
      <c r="AE50" s="11"/>
      <c r="AF50" s="119">
        <f t="shared" si="0"/>
        <v>916209.02</v>
      </c>
    </row>
    <row r="51" spans="1:62" s="69" customFormat="1" ht="13.5" thickBot="1" x14ac:dyDescent="0.25">
      <c r="A51" s="67" t="s">
        <v>37</v>
      </c>
      <c r="B51" s="120">
        <f>SUM(B45:B50)</f>
        <v>530466.25</v>
      </c>
      <c r="C51" s="120">
        <f t="shared" ref="C51:AD51" si="4">SUM(C45:C50)</f>
        <v>149713</v>
      </c>
      <c r="D51" s="120">
        <f t="shared" si="4"/>
        <v>842514</v>
      </c>
      <c r="E51" s="120">
        <f t="shared" si="4"/>
        <v>338385</v>
      </c>
      <c r="F51" s="120">
        <f t="shared" si="4"/>
        <v>778601</v>
      </c>
      <c r="G51" s="120">
        <f t="shared" si="4"/>
        <v>137329.41999999998</v>
      </c>
      <c r="H51" s="120">
        <f t="shared" si="4"/>
        <v>129972</v>
      </c>
      <c r="I51" s="120">
        <f t="shared" si="4"/>
        <v>649907</v>
      </c>
      <c r="J51" s="120">
        <f t="shared" si="4"/>
        <v>927901</v>
      </c>
      <c r="K51" s="120">
        <f t="shared" si="4"/>
        <v>178463</v>
      </c>
      <c r="L51" s="120">
        <f t="shared" si="4"/>
        <v>374151</v>
      </c>
      <c r="M51" s="120">
        <f t="shared" si="4"/>
        <v>280923</v>
      </c>
      <c r="N51" s="120">
        <f t="shared" si="4"/>
        <v>726301</v>
      </c>
      <c r="O51" s="120">
        <f t="shared" si="4"/>
        <v>0</v>
      </c>
      <c r="P51" s="120">
        <f t="shared" si="4"/>
        <v>136700</v>
      </c>
      <c r="Q51" s="120">
        <f t="shared" si="4"/>
        <v>108901</v>
      </c>
      <c r="R51" s="120">
        <f t="shared" si="4"/>
        <v>92820</v>
      </c>
      <c r="S51" s="120">
        <f t="shared" si="4"/>
        <v>124757.64</v>
      </c>
      <c r="T51" s="120">
        <f t="shared" si="4"/>
        <v>432578</v>
      </c>
      <c r="U51" s="120">
        <f t="shared" si="4"/>
        <v>230342</v>
      </c>
      <c r="V51" s="120">
        <f t="shared" si="4"/>
        <v>103935.7</v>
      </c>
      <c r="W51" s="120">
        <f t="shared" si="4"/>
        <v>419102.58999999997</v>
      </c>
      <c r="X51" s="120">
        <f t="shared" si="4"/>
        <v>883790</v>
      </c>
      <c r="Y51" s="120">
        <f t="shared" si="4"/>
        <v>0</v>
      </c>
      <c r="Z51" s="120">
        <f t="shared" si="4"/>
        <v>0</v>
      </c>
      <c r="AA51" s="120">
        <f t="shared" si="4"/>
        <v>0</v>
      </c>
      <c r="AB51" s="120">
        <f t="shared" si="4"/>
        <v>422268</v>
      </c>
      <c r="AC51" s="120">
        <f t="shared" si="4"/>
        <v>265407.53000000003</v>
      </c>
      <c r="AD51" s="120">
        <f t="shared" si="4"/>
        <v>109029</v>
      </c>
      <c r="AE51" s="121"/>
      <c r="AF51" s="120">
        <f t="shared" si="0"/>
        <v>9374258.129999999</v>
      </c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</row>
    <row r="52" spans="1:62" s="68" customFormat="1" ht="13.5" thickBot="1" x14ac:dyDescent="0.25">
      <c r="A52" s="14" t="s">
        <v>208</v>
      </c>
      <c r="B52" s="116"/>
      <c r="C52" s="116"/>
      <c r="D52" s="11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67"/>
      <c r="AD52" s="126"/>
      <c r="AE52" s="122"/>
      <c r="AF52" s="116"/>
    </row>
    <row r="53" spans="1:62" s="71" customFormat="1" ht="13.5" thickBot="1" x14ac:dyDescent="0.25">
      <c r="A53" s="70" t="s">
        <v>38</v>
      </c>
      <c r="B53" s="123"/>
      <c r="C53" s="123"/>
      <c r="D53" s="123"/>
      <c r="E53" s="123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68"/>
      <c r="AD53" s="125"/>
      <c r="AE53" s="124"/>
      <c r="AF53" s="123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</row>
    <row r="54" spans="1:62" ht="13.5" thickBot="1" x14ac:dyDescent="0.25">
      <c r="A54" s="25"/>
      <c r="B54" s="31"/>
      <c r="C54" s="31"/>
      <c r="D54" s="3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148"/>
      <c r="AD54" s="21"/>
      <c r="AE54" s="7"/>
      <c r="AF54" s="31"/>
    </row>
    <row r="55" spans="1:62" s="73" customFormat="1" ht="15.75" thickBot="1" x14ac:dyDescent="0.3">
      <c r="A55" s="96" t="s">
        <v>21</v>
      </c>
      <c r="B55" s="116"/>
      <c r="C55" s="116"/>
      <c r="D55" s="11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67"/>
      <c r="AD55" s="126"/>
      <c r="AE55" s="117"/>
      <c r="AF55" s="116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</row>
    <row r="56" spans="1:62" ht="13.5" thickBot="1" x14ac:dyDescent="0.25">
      <c r="A56" s="25"/>
      <c r="B56" s="31"/>
      <c r="C56" s="31"/>
      <c r="D56" s="3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148"/>
      <c r="AD56" s="21"/>
      <c r="AE56" s="7"/>
      <c r="AF56" s="31"/>
    </row>
    <row r="57" spans="1:62" s="43" customFormat="1" x14ac:dyDescent="0.2">
      <c r="A57" s="62" t="s">
        <v>45</v>
      </c>
      <c r="B57" s="63">
        <f t="shared" ref="B57:AD57" si="5">SUM(B40,B51)</f>
        <v>703423.27</v>
      </c>
      <c r="C57" s="63">
        <f t="shared" si="5"/>
        <v>278031</v>
      </c>
      <c r="D57" s="63">
        <f t="shared" si="5"/>
        <v>1467303</v>
      </c>
      <c r="E57" s="63">
        <f t="shared" si="5"/>
        <v>745008</v>
      </c>
      <c r="F57" s="63">
        <f t="shared" si="5"/>
        <v>1018633</v>
      </c>
      <c r="G57" s="63">
        <f t="shared" si="5"/>
        <v>272338.42</v>
      </c>
      <c r="H57" s="63">
        <f t="shared" si="5"/>
        <v>201810</v>
      </c>
      <c r="I57" s="63">
        <f t="shared" si="5"/>
        <v>937907</v>
      </c>
      <c r="J57" s="63">
        <f t="shared" si="5"/>
        <v>1137857</v>
      </c>
      <c r="K57" s="63">
        <f t="shared" si="5"/>
        <v>218838</v>
      </c>
      <c r="L57" s="63">
        <f t="shared" si="5"/>
        <v>719073</v>
      </c>
      <c r="M57" s="63">
        <f t="shared" si="5"/>
        <v>446246.06</v>
      </c>
      <c r="N57" s="63">
        <f t="shared" si="5"/>
        <v>1102183</v>
      </c>
      <c r="O57" s="63">
        <f t="shared" si="5"/>
        <v>1031000</v>
      </c>
      <c r="P57" s="63">
        <f t="shared" si="5"/>
        <v>321200</v>
      </c>
      <c r="Q57" s="63">
        <f t="shared" si="5"/>
        <v>250960</v>
      </c>
      <c r="R57" s="63">
        <f t="shared" si="5"/>
        <v>374419</v>
      </c>
      <c r="S57" s="63">
        <f t="shared" si="5"/>
        <v>195413.64</v>
      </c>
      <c r="T57" s="63">
        <f t="shared" si="5"/>
        <v>646977</v>
      </c>
      <c r="U57" s="63">
        <f t="shared" si="5"/>
        <v>377458</v>
      </c>
      <c r="V57" s="63">
        <f t="shared" si="5"/>
        <v>232211.03999999998</v>
      </c>
      <c r="W57" s="63">
        <f t="shared" si="5"/>
        <v>644635.59</v>
      </c>
      <c r="X57" s="63">
        <f t="shared" si="5"/>
        <v>1312618</v>
      </c>
      <c r="Y57" s="63">
        <f t="shared" si="5"/>
        <v>153162</v>
      </c>
      <c r="Z57" s="63">
        <f t="shared" si="5"/>
        <v>151710</v>
      </c>
      <c r="AA57" s="63">
        <f t="shared" si="5"/>
        <v>118883</v>
      </c>
      <c r="AB57" s="63">
        <f t="shared" si="5"/>
        <v>607592</v>
      </c>
      <c r="AC57" s="63">
        <f t="shared" si="5"/>
        <v>1429354.9</v>
      </c>
      <c r="AD57" s="63">
        <f t="shared" si="5"/>
        <v>282434</v>
      </c>
      <c r="AE57" s="75"/>
      <c r="AF57" s="63">
        <f t="shared" si="0"/>
        <v>17378678.919999998</v>
      </c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</row>
    <row r="58" spans="1:62" s="47" customFormat="1" ht="13.5" thickBot="1" x14ac:dyDescent="0.25">
      <c r="A58" s="65" t="s">
        <v>36</v>
      </c>
      <c r="B58" s="56">
        <f t="shared" ref="B58:AD58" si="6">B42+B51+B53</f>
        <v>703423.27</v>
      </c>
      <c r="C58" s="56">
        <f t="shared" si="6"/>
        <v>278031</v>
      </c>
      <c r="D58" s="56">
        <f t="shared" si="6"/>
        <v>1482303</v>
      </c>
      <c r="E58" s="56">
        <f t="shared" si="6"/>
        <v>745008</v>
      </c>
      <c r="F58" s="56">
        <f t="shared" si="6"/>
        <v>1018633</v>
      </c>
      <c r="G58" s="56">
        <f t="shared" si="6"/>
        <v>272338.42</v>
      </c>
      <c r="H58" s="56">
        <f t="shared" si="6"/>
        <v>201810</v>
      </c>
      <c r="I58" s="56">
        <f t="shared" si="6"/>
        <v>937907</v>
      </c>
      <c r="J58" s="56">
        <f t="shared" si="6"/>
        <v>1137857</v>
      </c>
      <c r="K58" s="56">
        <f t="shared" si="6"/>
        <v>218838</v>
      </c>
      <c r="L58" s="56">
        <f t="shared" si="6"/>
        <v>719073</v>
      </c>
      <c r="M58" s="56">
        <f t="shared" si="6"/>
        <v>446246.06</v>
      </c>
      <c r="N58" s="56">
        <f t="shared" si="6"/>
        <v>1102183</v>
      </c>
      <c r="O58" s="56">
        <f t="shared" si="6"/>
        <v>1031000</v>
      </c>
      <c r="P58" s="56">
        <f t="shared" si="6"/>
        <v>321200</v>
      </c>
      <c r="Q58" s="56">
        <f t="shared" si="6"/>
        <v>250960</v>
      </c>
      <c r="R58" s="56">
        <f t="shared" si="6"/>
        <v>381919</v>
      </c>
      <c r="S58" s="56">
        <f t="shared" si="6"/>
        <v>195413.64</v>
      </c>
      <c r="T58" s="56">
        <f t="shared" si="6"/>
        <v>646977</v>
      </c>
      <c r="U58" s="56">
        <f t="shared" si="6"/>
        <v>377458</v>
      </c>
      <c r="V58" s="56">
        <f t="shared" si="6"/>
        <v>232211.03999999998</v>
      </c>
      <c r="W58" s="56">
        <f t="shared" si="6"/>
        <v>644635.59</v>
      </c>
      <c r="X58" s="56">
        <f t="shared" si="6"/>
        <v>1312618</v>
      </c>
      <c r="Y58" s="56">
        <f t="shared" si="6"/>
        <v>153162</v>
      </c>
      <c r="Z58" s="56">
        <f t="shared" si="6"/>
        <v>151710</v>
      </c>
      <c r="AA58" s="56">
        <f t="shared" si="6"/>
        <v>118883</v>
      </c>
      <c r="AB58" s="56">
        <f t="shared" si="6"/>
        <v>607592</v>
      </c>
      <c r="AC58" s="56">
        <f t="shared" si="6"/>
        <v>1429354.9</v>
      </c>
      <c r="AD58" s="56">
        <f t="shared" si="6"/>
        <v>282434</v>
      </c>
      <c r="AE58" s="58"/>
      <c r="AF58" s="56">
        <f t="shared" si="0"/>
        <v>17401178.919999998</v>
      </c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</row>
    <row r="59" spans="1:62" x14ac:dyDescent="0.2">
      <c r="A59" s="25"/>
      <c r="B59" s="119"/>
      <c r="C59" s="119"/>
      <c r="D59" s="11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66"/>
      <c r="AD59" s="139"/>
      <c r="AE59" s="127"/>
      <c r="AF59" s="119">
        <f t="shared" si="0"/>
        <v>0</v>
      </c>
    </row>
    <row r="60" spans="1:62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169"/>
      <c r="AD60" s="7"/>
      <c r="AE60" s="9"/>
      <c r="AF60" s="16">
        <f t="shared" si="0"/>
        <v>0</v>
      </c>
    </row>
    <row r="61" spans="1:62" ht="12.75" customHeight="1" thickBot="1" x14ac:dyDescent="0.25">
      <c r="A61" s="25"/>
      <c r="B61" s="31"/>
      <c r="C61" s="31"/>
      <c r="D61" s="3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148"/>
      <c r="AD61" s="21"/>
      <c r="AE61" s="7"/>
      <c r="AF61" s="31"/>
    </row>
    <row r="62" spans="1:62" s="26" customFormat="1" ht="15" x14ac:dyDescent="0.25">
      <c r="A62" s="95" t="s">
        <v>23</v>
      </c>
      <c r="B62" s="105"/>
      <c r="C62" s="105"/>
      <c r="D62" s="105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65"/>
      <c r="AD62" s="108"/>
      <c r="AE62" s="7"/>
      <c r="AF62" s="105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</row>
    <row r="63" spans="1:62" x14ac:dyDescent="0.2">
      <c r="A63" s="3" t="s">
        <v>10</v>
      </c>
      <c r="B63" s="77">
        <f t="shared" ref="B63:AD63" si="7">B15/(B$9/1000)</f>
        <v>0.34961021082868138</v>
      </c>
      <c r="C63" s="77">
        <f t="shared" si="7"/>
        <v>0.7956947914664616</v>
      </c>
      <c r="D63" s="77">
        <f t="shared" si="7"/>
        <v>1.1883000641740129</v>
      </c>
      <c r="E63" s="77">
        <f t="shared" si="7"/>
        <v>0.22648210922787193</v>
      </c>
      <c r="F63" s="77">
        <f t="shared" si="7"/>
        <v>0.26765344649002637</v>
      </c>
      <c r="G63" s="77">
        <f t="shared" si="7"/>
        <v>0.82505384063173004</v>
      </c>
      <c r="H63" s="77">
        <f t="shared" si="7"/>
        <v>2.2771317829457365</v>
      </c>
      <c r="I63" s="77">
        <f t="shared" si="7"/>
        <v>0.54378350778657136</v>
      </c>
      <c r="J63" s="77">
        <f t="shared" si="7"/>
        <v>0.48063493396602769</v>
      </c>
      <c r="K63" s="77">
        <f t="shared" si="7"/>
        <v>0.2312060065696856</v>
      </c>
      <c r="L63" s="77">
        <f t="shared" si="7"/>
        <v>16.657710908113916</v>
      </c>
      <c r="M63" s="77">
        <f t="shared" si="7"/>
        <v>0.91099571832012394</v>
      </c>
      <c r="N63" s="77">
        <f t="shared" si="7"/>
        <v>0.88248591031609902</v>
      </c>
      <c r="O63" s="77">
        <f t="shared" si="7"/>
        <v>2.8046120286693674</v>
      </c>
      <c r="P63" s="77">
        <f t="shared" si="7"/>
        <v>1.671875</v>
      </c>
      <c r="Q63" s="77">
        <f t="shared" si="7"/>
        <v>0.90006000400026664</v>
      </c>
      <c r="R63" s="77">
        <f t="shared" si="7"/>
        <v>1.3732491073880801</v>
      </c>
      <c r="S63" s="77">
        <f t="shared" si="7"/>
        <v>0.88247235816566971</v>
      </c>
      <c r="T63" s="77">
        <f t="shared" si="7"/>
        <v>0.64860864077112856</v>
      </c>
      <c r="U63" s="77">
        <f t="shared" si="7"/>
        <v>0.91357406431207167</v>
      </c>
      <c r="V63" s="77">
        <f t="shared" si="7"/>
        <v>1.5885838682668154</v>
      </c>
      <c r="W63" s="77">
        <f t="shared" si="7"/>
        <v>0.72318176186346173</v>
      </c>
      <c r="X63" s="77">
        <f t="shared" si="7"/>
        <v>0.62288346993840049</v>
      </c>
      <c r="Y63" s="77">
        <f t="shared" si="7"/>
        <v>2.2197016277072037</v>
      </c>
      <c r="Z63" s="77">
        <f t="shared" si="7"/>
        <v>2.348416928234649</v>
      </c>
      <c r="AA63" s="77">
        <f t="shared" si="7"/>
        <v>4.3678358392578174</v>
      </c>
      <c r="AB63" s="77">
        <f t="shared" si="7"/>
        <v>0.74388833732406701</v>
      </c>
      <c r="AC63" s="77">
        <f t="shared" si="7"/>
        <v>1.14518214</v>
      </c>
      <c r="AD63" s="77">
        <f t="shared" si="7"/>
        <v>0.90006000400026664</v>
      </c>
      <c r="AE63" s="86"/>
      <c r="AF63" s="82">
        <v>0.88339548198593898</v>
      </c>
    </row>
    <row r="64" spans="1:62" x14ac:dyDescent="0.2">
      <c r="A64" s="3" t="s">
        <v>31</v>
      </c>
      <c r="B64" s="77">
        <f t="shared" ref="B64:AD64" si="8">B16/(B$9/1000)</f>
        <v>0</v>
      </c>
      <c r="C64" s="77">
        <f t="shared" si="8"/>
        <v>0</v>
      </c>
      <c r="D64" s="77">
        <f t="shared" si="8"/>
        <v>0</v>
      </c>
      <c r="E64" s="77">
        <f t="shared" si="8"/>
        <v>0</v>
      </c>
      <c r="F64" s="77">
        <f t="shared" si="8"/>
        <v>0</v>
      </c>
      <c r="G64" s="77">
        <f t="shared" si="8"/>
        <v>0</v>
      </c>
      <c r="H64" s="77">
        <f t="shared" si="8"/>
        <v>0</v>
      </c>
      <c r="I64" s="77">
        <f t="shared" si="8"/>
        <v>0</v>
      </c>
      <c r="J64" s="77">
        <f t="shared" si="8"/>
        <v>0</v>
      </c>
      <c r="K64" s="77">
        <f t="shared" si="8"/>
        <v>0</v>
      </c>
      <c r="L64" s="77">
        <f t="shared" si="8"/>
        <v>0</v>
      </c>
      <c r="M64" s="77">
        <f t="shared" si="8"/>
        <v>0</v>
      </c>
      <c r="N64" s="77">
        <f t="shared" si="8"/>
        <v>0</v>
      </c>
      <c r="O64" s="77">
        <f t="shared" si="8"/>
        <v>0</v>
      </c>
      <c r="P64" s="77">
        <f t="shared" si="8"/>
        <v>0</v>
      </c>
      <c r="Q64" s="77">
        <f t="shared" si="8"/>
        <v>0.22542836189079271</v>
      </c>
      <c r="R64" s="77">
        <f t="shared" si="8"/>
        <v>0</v>
      </c>
      <c r="S64" s="77">
        <f t="shared" si="8"/>
        <v>0</v>
      </c>
      <c r="T64" s="77">
        <f t="shared" si="8"/>
        <v>0</v>
      </c>
      <c r="U64" s="77">
        <f t="shared" si="8"/>
        <v>0</v>
      </c>
      <c r="V64" s="77">
        <f t="shared" si="8"/>
        <v>0</v>
      </c>
      <c r="W64" s="77">
        <f t="shared" si="8"/>
        <v>0</v>
      </c>
      <c r="X64" s="77">
        <f t="shared" si="8"/>
        <v>0</v>
      </c>
      <c r="Y64" s="77">
        <f t="shared" si="8"/>
        <v>0.41323445302482442</v>
      </c>
      <c r="Z64" s="77">
        <f t="shared" si="8"/>
        <v>0.46670872420449921</v>
      </c>
      <c r="AA64" s="77">
        <f t="shared" si="8"/>
        <v>1.044349549166544</v>
      </c>
      <c r="AB64" s="77">
        <f t="shared" si="8"/>
        <v>0.1558138176721369</v>
      </c>
      <c r="AC64" s="77">
        <f t="shared" si="8"/>
        <v>4.6829999999999997E-2</v>
      </c>
      <c r="AD64" s="77">
        <f t="shared" si="8"/>
        <v>0.22542836189079271</v>
      </c>
      <c r="AE64" s="86"/>
      <c r="AF64" s="77">
        <v>0.11614368424512804</v>
      </c>
    </row>
    <row r="65" spans="1:32" x14ac:dyDescent="0.2">
      <c r="A65" s="3" t="s">
        <v>11</v>
      </c>
      <c r="B65" s="77">
        <f t="shared" ref="B65:AD65" si="9">B17/(B$9/1000)</f>
        <v>0.52438957238090078</v>
      </c>
      <c r="C65" s="77">
        <f t="shared" si="9"/>
        <v>1.4994426292523544</v>
      </c>
      <c r="D65" s="77">
        <f t="shared" si="9"/>
        <v>1.1883000641740129</v>
      </c>
      <c r="E65" s="77">
        <f t="shared" si="9"/>
        <v>0.53561205273069679</v>
      </c>
      <c r="F65" s="77">
        <f t="shared" si="9"/>
        <v>0.43710113936315947</v>
      </c>
      <c r="G65" s="77">
        <f t="shared" si="9"/>
        <v>1.7988513998564251</v>
      </c>
      <c r="H65" s="77">
        <f t="shared" si="9"/>
        <v>5.5387596899224807</v>
      </c>
      <c r="I65" s="77">
        <f t="shared" si="9"/>
        <v>0</v>
      </c>
      <c r="J65" s="77">
        <f t="shared" si="9"/>
        <v>0</v>
      </c>
      <c r="K65" s="77">
        <f t="shared" si="9"/>
        <v>0.5</v>
      </c>
      <c r="L65" s="77">
        <f t="shared" si="9"/>
        <v>14.763567974207415</v>
      </c>
      <c r="M65" s="77">
        <f t="shared" si="9"/>
        <v>0.76100938325589873</v>
      </c>
      <c r="N65" s="77">
        <f t="shared" si="9"/>
        <v>0.51048149963244305</v>
      </c>
      <c r="O65" s="77">
        <f t="shared" si="9"/>
        <v>1.0439389217824868</v>
      </c>
      <c r="P65" s="77">
        <f t="shared" si="9"/>
        <v>1.5</v>
      </c>
      <c r="Q65" s="77">
        <f t="shared" si="9"/>
        <v>0.36333088872591507</v>
      </c>
      <c r="R65" s="77">
        <f t="shared" si="9"/>
        <v>1</v>
      </c>
      <c r="S65" s="77">
        <f t="shared" si="9"/>
        <v>0.51049483414899399</v>
      </c>
      <c r="T65" s="77">
        <f t="shared" si="9"/>
        <v>0.50049916805324457</v>
      </c>
      <c r="U65" s="77">
        <f t="shared" si="9"/>
        <v>1.1493674222456511</v>
      </c>
      <c r="V65" s="77">
        <f t="shared" si="9"/>
        <v>3.3235869383198438</v>
      </c>
      <c r="W65" s="77">
        <f t="shared" si="9"/>
        <v>0.50166026514682194</v>
      </c>
      <c r="X65" s="77">
        <f t="shared" si="9"/>
        <v>0.50509087206638492</v>
      </c>
      <c r="Y65" s="77">
        <f t="shared" si="9"/>
        <v>2.5896518989917374</v>
      </c>
      <c r="Z65" s="77">
        <f t="shared" si="9"/>
        <v>2.7398197496070904</v>
      </c>
      <c r="AA65" s="77">
        <f t="shared" si="9"/>
        <v>5.0958084791341198</v>
      </c>
      <c r="AB65" s="77">
        <f t="shared" si="9"/>
        <v>0.50000584009811366</v>
      </c>
      <c r="AC65" s="77">
        <f t="shared" si="9"/>
        <v>0.56613749999999996</v>
      </c>
      <c r="AD65" s="77">
        <f t="shared" si="9"/>
        <v>0.36333088872591507</v>
      </c>
      <c r="AE65" s="86"/>
      <c r="AF65" s="77">
        <v>0.76488299199731657</v>
      </c>
    </row>
    <row r="66" spans="1:32" x14ac:dyDescent="0.2">
      <c r="A66" s="3" t="s">
        <v>73</v>
      </c>
      <c r="B66" s="77">
        <f t="shared" ref="B66:AD66" si="10">B18/(B$9/1000)</f>
        <v>0</v>
      </c>
      <c r="C66" s="77">
        <f t="shared" si="10"/>
        <v>0</v>
      </c>
      <c r="D66" s="77">
        <f t="shared" si="10"/>
        <v>0</v>
      </c>
      <c r="E66" s="77">
        <f t="shared" si="10"/>
        <v>0</v>
      </c>
      <c r="F66" s="77">
        <f t="shared" si="10"/>
        <v>0</v>
      </c>
      <c r="G66" s="77">
        <f t="shared" si="10"/>
        <v>0</v>
      </c>
      <c r="H66" s="77">
        <f t="shared" si="10"/>
        <v>0</v>
      </c>
      <c r="I66" s="77">
        <f t="shared" si="10"/>
        <v>0</v>
      </c>
      <c r="J66" s="77">
        <f t="shared" si="10"/>
        <v>0</v>
      </c>
      <c r="K66" s="77">
        <f t="shared" si="10"/>
        <v>0</v>
      </c>
      <c r="L66" s="77">
        <f t="shared" si="10"/>
        <v>0</v>
      </c>
      <c r="M66" s="77">
        <f t="shared" si="10"/>
        <v>0</v>
      </c>
      <c r="N66" s="77">
        <f t="shared" si="10"/>
        <v>0</v>
      </c>
      <c r="O66" s="77">
        <f t="shared" si="10"/>
        <v>0</v>
      </c>
      <c r="P66" s="77">
        <f t="shared" si="10"/>
        <v>0</v>
      </c>
      <c r="Q66" s="77">
        <f t="shared" si="10"/>
        <v>0</v>
      </c>
      <c r="R66" s="77">
        <f t="shared" si="10"/>
        <v>0</v>
      </c>
      <c r="S66" s="77">
        <f t="shared" si="10"/>
        <v>0</v>
      </c>
      <c r="T66" s="77">
        <f t="shared" si="10"/>
        <v>0</v>
      </c>
      <c r="U66" s="77">
        <f t="shared" si="10"/>
        <v>0</v>
      </c>
      <c r="V66" s="77">
        <f t="shared" si="10"/>
        <v>0</v>
      </c>
      <c r="W66" s="77">
        <f t="shared" si="10"/>
        <v>0</v>
      </c>
      <c r="X66" s="77">
        <f t="shared" si="10"/>
        <v>0</v>
      </c>
      <c r="Y66" s="77">
        <f t="shared" si="10"/>
        <v>0</v>
      </c>
      <c r="Z66" s="77">
        <f t="shared" si="10"/>
        <v>0</v>
      </c>
      <c r="AA66" s="77">
        <f t="shared" si="10"/>
        <v>0</v>
      </c>
      <c r="AB66" s="77">
        <f t="shared" si="10"/>
        <v>0</v>
      </c>
      <c r="AC66" s="77">
        <f t="shared" si="10"/>
        <v>0</v>
      </c>
      <c r="AD66" s="77">
        <f t="shared" si="10"/>
        <v>0</v>
      </c>
      <c r="AE66" s="86"/>
      <c r="AF66" s="77">
        <v>0</v>
      </c>
    </row>
    <row r="67" spans="1:32" x14ac:dyDescent="0.2">
      <c r="A67" s="3" t="s">
        <v>12</v>
      </c>
      <c r="B67" s="77">
        <f t="shared" ref="B67:AD67" si="11">B19/(B$9/1000)</f>
        <v>1.7029537694433907E-2</v>
      </c>
      <c r="C67" s="77">
        <f t="shared" si="11"/>
        <v>0.12531231981549107</v>
      </c>
      <c r="D67" s="77">
        <f t="shared" si="11"/>
        <v>2.2778397000709293E-2</v>
      </c>
      <c r="E67" s="77">
        <f t="shared" si="11"/>
        <v>9.6233521657250465E-3</v>
      </c>
      <c r="F67" s="77">
        <f t="shared" si="11"/>
        <v>8.3330548965885928E-3</v>
      </c>
      <c r="G67" s="77">
        <f t="shared" si="11"/>
        <v>0.13510409188801148</v>
      </c>
      <c r="H67" s="77">
        <f t="shared" si="11"/>
        <v>0.63178294573643412</v>
      </c>
      <c r="I67" s="77">
        <f t="shared" si="11"/>
        <v>2.042379371968343E-2</v>
      </c>
      <c r="J67" s="77">
        <f t="shared" si="11"/>
        <v>2.0996493585571211E-2</v>
      </c>
      <c r="K67" s="77">
        <f t="shared" si="11"/>
        <v>9.6198967620835293E-3</v>
      </c>
      <c r="L67" s="77">
        <f t="shared" si="11"/>
        <v>0.55959161740999463</v>
      </c>
      <c r="M67" s="77">
        <f t="shared" si="11"/>
        <v>2.2870547508426712E-2</v>
      </c>
      <c r="N67" s="77">
        <f t="shared" si="11"/>
        <v>2.2322960058809117E-2</v>
      </c>
      <c r="O67" s="77">
        <f t="shared" si="11"/>
        <v>0</v>
      </c>
      <c r="P67" s="77">
        <f t="shared" si="11"/>
        <v>5.059375E-2</v>
      </c>
      <c r="Q67" s="77">
        <f t="shared" si="11"/>
        <v>0</v>
      </c>
      <c r="R67" s="77">
        <f t="shared" si="11"/>
        <v>3.2504806371875861E-2</v>
      </c>
      <c r="S67" s="77">
        <f t="shared" si="11"/>
        <v>2.2330976980242886E-2</v>
      </c>
      <c r="T67" s="77">
        <f t="shared" si="11"/>
        <v>3.4540134258993632E-2</v>
      </c>
      <c r="U67" s="77">
        <f t="shared" si="11"/>
        <v>3.2920400632577757E-2</v>
      </c>
      <c r="V67" s="77">
        <f t="shared" si="11"/>
        <v>0.10459391571308958</v>
      </c>
      <c r="W67" s="77">
        <f t="shared" si="11"/>
        <v>2.7951926650972618E-2</v>
      </c>
      <c r="X67" s="77">
        <f t="shared" si="11"/>
        <v>2.1687115002799979E-2</v>
      </c>
      <c r="Y67" s="77">
        <f t="shared" si="11"/>
        <v>0</v>
      </c>
      <c r="Z67" s="77">
        <f t="shared" si="11"/>
        <v>0</v>
      </c>
      <c r="AA67" s="77">
        <f t="shared" si="11"/>
        <v>0</v>
      </c>
      <c r="AB67" s="77">
        <f t="shared" si="11"/>
        <v>2.8476318402149155E-2</v>
      </c>
      <c r="AC67" s="77">
        <f t="shared" si="11"/>
        <v>4.3576800000000001E-3</v>
      </c>
      <c r="AD67" s="77">
        <f t="shared" si="11"/>
        <v>0</v>
      </c>
      <c r="AE67" s="86"/>
      <c r="AF67" s="77">
        <v>2.3747345046354451E-2</v>
      </c>
    </row>
    <row r="68" spans="1:32" x14ac:dyDescent="0.2">
      <c r="A68" s="3" t="s">
        <v>13</v>
      </c>
      <c r="B68" s="77">
        <f t="shared" ref="B68:AD68" si="12">B20/(B$9/1000)</f>
        <v>9.0325727602839955E-4</v>
      </c>
      <c r="C68" s="77">
        <f t="shared" si="12"/>
        <v>1.9219680953296174E-2</v>
      </c>
      <c r="D68" s="77">
        <f t="shared" si="12"/>
        <v>0</v>
      </c>
      <c r="E68" s="77">
        <f t="shared" si="12"/>
        <v>5.2316384180790959E-3</v>
      </c>
      <c r="F68" s="77">
        <f t="shared" si="12"/>
        <v>1.3899562297437268E-3</v>
      </c>
      <c r="G68" s="77">
        <f t="shared" si="12"/>
        <v>8.9734386216798273E-2</v>
      </c>
      <c r="H68" s="77">
        <f t="shared" si="12"/>
        <v>9.6899224806201556E-2</v>
      </c>
      <c r="I68" s="77">
        <f t="shared" si="12"/>
        <v>9.190707173857544E-3</v>
      </c>
      <c r="J68" s="77">
        <f t="shared" si="12"/>
        <v>6.2989480756713628E-3</v>
      </c>
      <c r="K68" s="77">
        <f t="shared" si="12"/>
        <v>5.2088221492257152E-3</v>
      </c>
      <c r="L68" s="77">
        <f t="shared" si="12"/>
        <v>0</v>
      </c>
      <c r="M68" s="77">
        <f t="shared" si="12"/>
        <v>9.109957183201239E-3</v>
      </c>
      <c r="N68" s="77">
        <f t="shared" si="12"/>
        <v>4.1160254839500122E-2</v>
      </c>
      <c r="O68" s="77">
        <f t="shared" si="12"/>
        <v>0</v>
      </c>
      <c r="P68" s="77">
        <f t="shared" si="12"/>
        <v>0</v>
      </c>
      <c r="Q68" s="77">
        <f t="shared" si="12"/>
        <v>0</v>
      </c>
      <c r="R68" s="77">
        <f t="shared" si="12"/>
        <v>0</v>
      </c>
      <c r="S68" s="77">
        <f t="shared" si="12"/>
        <v>2.8312488671379372E-2</v>
      </c>
      <c r="T68" s="77">
        <f t="shared" si="12"/>
        <v>2.0655229789431406E-2</v>
      </c>
      <c r="U68" s="77">
        <f t="shared" si="12"/>
        <v>1.6684238270954138E-2</v>
      </c>
      <c r="V68" s="77">
        <f t="shared" si="12"/>
        <v>2.7909572983533353E-2</v>
      </c>
      <c r="W68" s="77">
        <f t="shared" si="12"/>
        <v>0.11151034568207162</v>
      </c>
      <c r="X68" s="77">
        <f t="shared" si="12"/>
        <v>2.3418011505370869E-2</v>
      </c>
      <c r="Y68" s="77">
        <f t="shared" si="12"/>
        <v>0</v>
      </c>
      <c r="Z68" s="77">
        <f t="shared" si="12"/>
        <v>0</v>
      </c>
      <c r="AA68" s="77">
        <f t="shared" si="12"/>
        <v>0</v>
      </c>
      <c r="AB68" s="77">
        <f t="shared" si="12"/>
        <v>6.42410792501314E-3</v>
      </c>
      <c r="AC68" s="77">
        <f t="shared" si="12"/>
        <v>0</v>
      </c>
      <c r="AD68" s="77">
        <f t="shared" si="12"/>
        <v>0</v>
      </c>
      <c r="AE68" s="86"/>
      <c r="AF68" s="77">
        <v>1.8990765257064224E-2</v>
      </c>
    </row>
    <row r="69" spans="1:32" x14ac:dyDescent="0.2">
      <c r="A69" s="3" t="s">
        <v>14</v>
      </c>
      <c r="B69" s="77">
        <f t="shared" ref="B69:AD69" si="13">B21/(B$9/1000)</f>
        <v>0</v>
      </c>
      <c r="C69" s="77">
        <f t="shared" si="13"/>
        <v>0</v>
      </c>
      <c r="D69" s="77">
        <f t="shared" si="13"/>
        <v>0.41144999493363055</v>
      </c>
      <c r="E69" s="77">
        <f t="shared" si="13"/>
        <v>0</v>
      </c>
      <c r="F69" s="77">
        <f t="shared" si="13"/>
        <v>0</v>
      </c>
      <c r="G69" s="77">
        <f t="shared" si="13"/>
        <v>0</v>
      </c>
      <c r="H69" s="77">
        <f t="shared" si="13"/>
        <v>0</v>
      </c>
      <c r="I69" s="77">
        <f t="shared" si="13"/>
        <v>0.17870819504723001</v>
      </c>
      <c r="J69" s="77">
        <f t="shared" si="13"/>
        <v>0</v>
      </c>
      <c r="K69" s="77">
        <f t="shared" si="13"/>
        <v>0</v>
      </c>
      <c r="L69" s="77">
        <f t="shared" si="13"/>
        <v>0</v>
      </c>
      <c r="M69" s="77">
        <f t="shared" si="13"/>
        <v>0</v>
      </c>
      <c r="N69" s="77">
        <f t="shared" si="13"/>
        <v>0</v>
      </c>
      <c r="O69" s="77">
        <f t="shared" si="13"/>
        <v>2.3683390464319101</v>
      </c>
      <c r="P69" s="77">
        <f t="shared" si="13"/>
        <v>1.40625</v>
      </c>
      <c r="Q69" s="77">
        <f t="shared" si="13"/>
        <v>0</v>
      </c>
      <c r="R69" s="77">
        <f t="shared" si="13"/>
        <v>0.33842351002471849</v>
      </c>
      <c r="S69" s="77">
        <f t="shared" si="13"/>
        <v>0</v>
      </c>
      <c r="T69" s="77">
        <f t="shared" si="13"/>
        <v>0.22950255321590451</v>
      </c>
      <c r="U69" s="77">
        <f t="shared" si="13"/>
        <v>0</v>
      </c>
      <c r="V69" s="77">
        <f t="shared" si="13"/>
        <v>0</v>
      </c>
      <c r="W69" s="77">
        <f t="shared" si="13"/>
        <v>0</v>
      </c>
      <c r="X69" s="77">
        <f t="shared" si="13"/>
        <v>0.15272616199154915</v>
      </c>
      <c r="Y69" s="77">
        <f t="shared" si="13"/>
        <v>0</v>
      </c>
      <c r="Z69" s="77">
        <f t="shared" si="13"/>
        <v>0</v>
      </c>
      <c r="AA69" s="77">
        <f t="shared" si="13"/>
        <v>0</v>
      </c>
      <c r="AB69" s="77">
        <f t="shared" si="13"/>
        <v>0</v>
      </c>
      <c r="AC69" s="77">
        <f t="shared" si="13"/>
        <v>0.3</v>
      </c>
      <c r="AD69" s="77">
        <f t="shared" si="13"/>
        <v>0</v>
      </c>
      <c r="AE69" s="86"/>
      <c r="AF69" s="77">
        <v>0.39920475757061535</v>
      </c>
    </row>
    <row r="70" spans="1:32" x14ac:dyDescent="0.2">
      <c r="A70" s="3" t="s">
        <v>15</v>
      </c>
      <c r="B70" s="77">
        <f t="shared" ref="B70:AD70" si="14">B22/(B$9/1000)</f>
        <v>0</v>
      </c>
      <c r="C70" s="77">
        <f t="shared" si="14"/>
        <v>0</v>
      </c>
      <c r="D70" s="77">
        <f t="shared" si="14"/>
        <v>0</v>
      </c>
      <c r="E70" s="77">
        <f t="shared" si="14"/>
        <v>0</v>
      </c>
      <c r="F70" s="77">
        <f t="shared" si="14"/>
        <v>0</v>
      </c>
      <c r="G70" s="77">
        <f t="shared" si="14"/>
        <v>0</v>
      </c>
      <c r="H70" s="77">
        <f t="shared" si="14"/>
        <v>0</v>
      </c>
      <c r="I70" s="77">
        <f t="shared" si="14"/>
        <v>0</v>
      </c>
      <c r="J70" s="77">
        <f t="shared" si="14"/>
        <v>0</v>
      </c>
      <c r="K70" s="77">
        <f t="shared" si="14"/>
        <v>0</v>
      </c>
      <c r="L70" s="77">
        <f t="shared" si="14"/>
        <v>0</v>
      </c>
      <c r="M70" s="77">
        <f t="shared" si="14"/>
        <v>0</v>
      </c>
      <c r="N70" s="77">
        <f t="shared" si="14"/>
        <v>0</v>
      </c>
      <c r="O70" s="77">
        <f t="shared" si="14"/>
        <v>0</v>
      </c>
      <c r="P70" s="77">
        <f t="shared" si="14"/>
        <v>0</v>
      </c>
      <c r="Q70" s="77">
        <f t="shared" si="14"/>
        <v>0</v>
      </c>
      <c r="R70" s="77">
        <f t="shared" si="14"/>
        <v>0</v>
      </c>
      <c r="S70" s="77">
        <f t="shared" si="14"/>
        <v>0</v>
      </c>
      <c r="T70" s="77">
        <f t="shared" si="14"/>
        <v>0</v>
      </c>
      <c r="U70" s="77">
        <f t="shared" si="14"/>
        <v>0</v>
      </c>
      <c r="V70" s="77">
        <f t="shared" si="14"/>
        <v>0</v>
      </c>
      <c r="W70" s="77">
        <f t="shared" si="14"/>
        <v>0</v>
      </c>
      <c r="X70" s="77">
        <f t="shared" si="14"/>
        <v>0</v>
      </c>
      <c r="Y70" s="77">
        <f t="shared" si="14"/>
        <v>0</v>
      </c>
      <c r="Z70" s="77">
        <f t="shared" si="14"/>
        <v>0</v>
      </c>
      <c r="AA70" s="77">
        <f t="shared" si="14"/>
        <v>0</v>
      </c>
      <c r="AB70" s="77">
        <f t="shared" si="14"/>
        <v>0</v>
      </c>
      <c r="AC70" s="77">
        <f t="shared" si="14"/>
        <v>0</v>
      </c>
      <c r="AD70" s="77">
        <f t="shared" si="14"/>
        <v>0.23334888992599506</v>
      </c>
      <c r="AE70" s="86"/>
      <c r="AF70" s="77">
        <v>0.23334888992599506</v>
      </c>
    </row>
    <row r="71" spans="1:32" x14ac:dyDescent="0.2">
      <c r="A71" s="3" t="s">
        <v>16</v>
      </c>
      <c r="B71" s="77">
        <f t="shared" ref="B71:AD71" si="15">B23/(B$9/1000)</f>
        <v>0</v>
      </c>
      <c r="C71" s="77">
        <f t="shared" si="15"/>
        <v>0</v>
      </c>
      <c r="D71" s="77">
        <f t="shared" si="15"/>
        <v>0</v>
      </c>
      <c r="E71" s="77">
        <f t="shared" si="15"/>
        <v>0</v>
      </c>
      <c r="F71" s="77">
        <f t="shared" si="15"/>
        <v>0</v>
      </c>
      <c r="G71" s="77">
        <f t="shared" si="15"/>
        <v>0</v>
      </c>
      <c r="H71" s="77">
        <f t="shared" si="15"/>
        <v>0</v>
      </c>
      <c r="I71" s="77">
        <f t="shared" si="15"/>
        <v>0</v>
      </c>
      <c r="J71" s="77">
        <f t="shared" si="15"/>
        <v>0</v>
      </c>
      <c r="K71" s="77">
        <f t="shared" si="15"/>
        <v>0</v>
      </c>
      <c r="L71" s="77">
        <f t="shared" si="15"/>
        <v>0</v>
      </c>
      <c r="M71" s="77">
        <f t="shared" si="15"/>
        <v>0</v>
      </c>
      <c r="N71" s="77">
        <f t="shared" si="15"/>
        <v>0</v>
      </c>
      <c r="O71" s="77">
        <f t="shared" si="15"/>
        <v>0</v>
      </c>
      <c r="P71" s="77">
        <f t="shared" si="15"/>
        <v>0</v>
      </c>
      <c r="Q71" s="77">
        <f t="shared" si="15"/>
        <v>0.20001333422228149</v>
      </c>
      <c r="R71" s="77">
        <f t="shared" si="15"/>
        <v>0</v>
      </c>
      <c r="S71" s="77">
        <f t="shared" si="15"/>
        <v>0</v>
      </c>
      <c r="T71" s="77">
        <f t="shared" si="15"/>
        <v>0</v>
      </c>
      <c r="U71" s="77">
        <f t="shared" si="15"/>
        <v>0</v>
      </c>
      <c r="V71" s="77">
        <f t="shared" si="15"/>
        <v>0</v>
      </c>
      <c r="W71" s="77">
        <f t="shared" si="15"/>
        <v>0</v>
      </c>
      <c r="X71" s="77">
        <f t="shared" si="15"/>
        <v>0</v>
      </c>
      <c r="Y71" s="77">
        <f t="shared" si="15"/>
        <v>0</v>
      </c>
      <c r="Z71" s="77">
        <f t="shared" si="15"/>
        <v>0</v>
      </c>
      <c r="AA71" s="77">
        <f t="shared" si="15"/>
        <v>0</v>
      </c>
      <c r="AB71" s="77">
        <f t="shared" si="15"/>
        <v>0</v>
      </c>
      <c r="AC71" s="77">
        <f t="shared" si="15"/>
        <v>0</v>
      </c>
      <c r="AD71" s="77">
        <f t="shared" si="15"/>
        <v>0</v>
      </c>
      <c r="AE71" s="86"/>
      <c r="AF71" s="77">
        <v>0.20001333422228149</v>
      </c>
    </row>
    <row r="72" spans="1:32" x14ac:dyDescent="0.2">
      <c r="A72" s="3" t="s">
        <v>26</v>
      </c>
      <c r="B72" s="77">
        <f t="shared" ref="B72:AD72" si="16">B24/(B$9/1000)</f>
        <v>0</v>
      </c>
      <c r="C72" s="77">
        <f t="shared" si="16"/>
        <v>0</v>
      </c>
      <c r="D72" s="77">
        <f t="shared" si="16"/>
        <v>6.7551592528793863E-2</v>
      </c>
      <c r="E72" s="77">
        <f t="shared" si="16"/>
        <v>0</v>
      </c>
      <c r="F72" s="77">
        <f t="shared" si="16"/>
        <v>0</v>
      </c>
      <c r="G72" s="77">
        <f t="shared" si="16"/>
        <v>0</v>
      </c>
      <c r="H72" s="77">
        <f t="shared" si="16"/>
        <v>0</v>
      </c>
      <c r="I72" s="77">
        <f t="shared" si="16"/>
        <v>0</v>
      </c>
      <c r="J72" s="77">
        <f t="shared" si="16"/>
        <v>0</v>
      </c>
      <c r="K72" s="77">
        <f t="shared" si="16"/>
        <v>0</v>
      </c>
      <c r="L72" s="77">
        <f t="shared" si="16"/>
        <v>0.21493820526598603</v>
      </c>
      <c r="M72" s="77">
        <f t="shared" si="16"/>
        <v>0</v>
      </c>
      <c r="N72" s="77">
        <f t="shared" si="16"/>
        <v>0</v>
      </c>
      <c r="O72" s="77">
        <f t="shared" si="16"/>
        <v>4.6743533811156125E-2</v>
      </c>
      <c r="P72" s="77">
        <f t="shared" si="16"/>
        <v>4.6875E-2</v>
      </c>
      <c r="Q72" s="77">
        <f t="shared" si="16"/>
        <v>0</v>
      </c>
      <c r="R72" s="77">
        <f t="shared" si="16"/>
        <v>6.8662455369404005E-2</v>
      </c>
      <c r="S72" s="77">
        <f t="shared" si="16"/>
        <v>0</v>
      </c>
      <c r="T72" s="77">
        <f t="shared" si="16"/>
        <v>0</v>
      </c>
      <c r="U72" s="77">
        <f t="shared" si="16"/>
        <v>0</v>
      </c>
      <c r="V72" s="77">
        <f t="shared" si="16"/>
        <v>0</v>
      </c>
      <c r="W72" s="77">
        <f t="shared" si="16"/>
        <v>0</v>
      </c>
      <c r="X72" s="77">
        <f t="shared" si="16"/>
        <v>0</v>
      </c>
      <c r="Y72" s="77">
        <f t="shared" si="16"/>
        <v>3.6995027128453394E-2</v>
      </c>
      <c r="Z72" s="77">
        <f t="shared" si="16"/>
        <v>3.9140282137244145E-2</v>
      </c>
      <c r="AA72" s="77">
        <f t="shared" si="16"/>
        <v>7.2797263987630284E-2</v>
      </c>
      <c r="AB72" s="77">
        <f t="shared" si="16"/>
        <v>0</v>
      </c>
      <c r="AC72" s="77">
        <f t="shared" si="16"/>
        <v>0</v>
      </c>
      <c r="AD72" s="77">
        <f t="shared" si="16"/>
        <v>0</v>
      </c>
      <c r="AE72" s="86"/>
      <c r="AF72" s="77">
        <v>6.3978052434815108E-2</v>
      </c>
    </row>
    <row r="73" spans="1:32" x14ac:dyDescent="0.2">
      <c r="A73" s="3" t="s">
        <v>27</v>
      </c>
      <c r="B73" s="77">
        <f t="shared" ref="B73:AD73" si="17">B25/(B$9/1000)</f>
        <v>0</v>
      </c>
      <c r="C73" s="77">
        <f t="shared" si="17"/>
        <v>0</v>
      </c>
      <c r="D73" s="77">
        <f t="shared" si="17"/>
        <v>4.8562839868949909E-2</v>
      </c>
      <c r="E73" s="77">
        <f t="shared" si="17"/>
        <v>0</v>
      </c>
      <c r="F73" s="77">
        <f t="shared" si="17"/>
        <v>0</v>
      </c>
      <c r="G73" s="77">
        <f t="shared" si="17"/>
        <v>0</v>
      </c>
      <c r="H73" s="77">
        <f t="shared" si="17"/>
        <v>0</v>
      </c>
      <c r="I73" s="77">
        <f t="shared" si="17"/>
        <v>0</v>
      </c>
      <c r="J73" s="77">
        <f t="shared" si="17"/>
        <v>0</v>
      </c>
      <c r="K73" s="77">
        <f t="shared" si="17"/>
        <v>0</v>
      </c>
      <c r="L73" s="77">
        <f t="shared" si="17"/>
        <v>0.16120365394948952</v>
      </c>
      <c r="M73" s="77">
        <f t="shared" si="17"/>
        <v>0</v>
      </c>
      <c r="N73" s="77">
        <f t="shared" si="17"/>
        <v>0</v>
      </c>
      <c r="O73" s="77">
        <f t="shared" si="17"/>
        <v>0.11685883452789031</v>
      </c>
      <c r="P73" s="77">
        <f t="shared" si="17"/>
        <v>7.8125E-2</v>
      </c>
      <c r="Q73" s="77">
        <f t="shared" si="17"/>
        <v>0</v>
      </c>
      <c r="R73" s="77">
        <f t="shared" si="17"/>
        <v>6.9527602307058498E-2</v>
      </c>
      <c r="S73" s="77">
        <f t="shared" si="17"/>
        <v>0</v>
      </c>
      <c r="T73" s="77">
        <f t="shared" si="17"/>
        <v>0</v>
      </c>
      <c r="U73" s="77">
        <f t="shared" si="17"/>
        <v>0</v>
      </c>
      <c r="V73" s="77">
        <f t="shared" si="17"/>
        <v>0</v>
      </c>
      <c r="W73" s="77">
        <f t="shared" si="17"/>
        <v>0</v>
      </c>
      <c r="X73" s="77">
        <f t="shared" si="17"/>
        <v>0</v>
      </c>
      <c r="Y73" s="77">
        <f t="shared" si="17"/>
        <v>0</v>
      </c>
      <c r="Z73" s="77">
        <f t="shared" si="17"/>
        <v>0</v>
      </c>
      <c r="AA73" s="77">
        <f t="shared" si="17"/>
        <v>0</v>
      </c>
      <c r="AB73" s="77">
        <f t="shared" si="17"/>
        <v>0</v>
      </c>
      <c r="AC73" s="77">
        <f t="shared" si="17"/>
        <v>0</v>
      </c>
      <c r="AD73" s="77">
        <f t="shared" si="17"/>
        <v>0</v>
      </c>
      <c r="AE73" s="86"/>
      <c r="AF73" s="77">
        <v>7.2782987068701357E-2</v>
      </c>
    </row>
    <row r="74" spans="1:32" x14ac:dyDescent="0.2">
      <c r="A74" s="3" t="s">
        <v>17</v>
      </c>
      <c r="B74" s="77">
        <f t="shared" ref="B74:AD74" si="18">B26/(B$9/1000)</f>
        <v>0</v>
      </c>
      <c r="C74" s="77">
        <f t="shared" si="18"/>
        <v>4.036133000192197E-2</v>
      </c>
      <c r="D74" s="77">
        <f t="shared" si="18"/>
        <v>0</v>
      </c>
      <c r="E74" s="77">
        <f t="shared" si="18"/>
        <v>2.8248587570621469E-3</v>
      </c>
      <c r="F74" s="77">
        <f t="shared" si="18"/>
        <v>0</v>
      </c>
      <c r="G74" s="77">
        <f t="shared" si="18"/>
        <v>8.2124910265613776E-2</v>
      </c>
      <c r="H74" s="77">
        <f t="shared" si="18"/>
        <v>0</v>
      </c>
      <c r="I74" s="77">
        <f t="shared" si="18"/>
        <v>7.6589226448812867E-3</v>
      </c>
      <c r="J74" s="77">
        <f t="shared" si="18"/>
        <v>2.0996493585571209E-3</v>
      </c>
      <c r="K74" s="77">
        <f t="shared" si="18"/>
        <v>0</v>
      </c>
      <c r="L74" s="77">
        <f t="shared" si="18"/>
        <v>0</v>
      </c>
      <c r="M74" s="77">
        <f t="shared" si="18"/>
        <v>0</v>
      </c>
      <c r="N74" s="77">
        <f t="shared" si="18"/>
        <v>6.3893653516295026E-3</v>
      </c>
      <c r="O74" s="77">
        <f t="shared" si="18"/>
        <v>0</v>
      </c>
      <c r="P74" s="77">
        <f t="shared" si="18"/>
        <v>0</v>
      </c>
      <c r="Q74" s="77">
        <f t="shared" si="18"/>
        <v>0</v>
      </c>
      <c r="R74" s="77">
        <f t="shared" si="18"/>
        <v>0</v>
      </c>
      <c r="S74" s="77">
        <f t="shared" si="18"/>
        <v>5.2564799709987316E-3</v>
      </c>
      <c r="T74" s="77">
        <f t="shared" si="18"/>
        <v>0</v>
      </c>
      <c r="U74" s="77">
        <f t="shared" si="18"/>
        <v>0</v>
      </c>
      <c r="V74" s="77">
        <f t="shared" si="18"/>
        <v>0.13396595032096009</v>
      </c>
      <c r="W74" s="77">
        <f t="shared" si="18"/>
        <v>1.8585057613678603E-2</v>
      </c>
      <c r="X74" s="77">
        <f t="shared" si="18"/>
        <v>1.0181744132769944E-3</v>
      </c>
      <c r="Y74" s="77">
        <f t="shared" si="18"/>
        <v>0</v>
      </c>
      <c r="Z74" s="77">
        <f t="shared" si="18"/>
        <v>0</v>
      </c>
      <c r="AA74" s="77">
        <f t="shared" si="18"/>
        <v>0</v>
      </c>
      <c r="AB74" s="77">
        <f t="shared" si="18"/>
        <v>0</v>
      </c>
      <c r="AC74" s="77">
        <f t="shared" si="18"/>
        <v>0</v>
      </c>
      <c r="AD74" s="77">
        <f t="shared" si="18"/>
        <v>0</v>
      </c>
      <c r="AE74" s="86"/>
      <c r="AF74" s="77">
        <v>9.1798198896097614E-3</v>
      </c>
    </row>
    <row r="75" spans="1:32" x14ac:dyDescent="0.2">
      <c r="A75" s="3" t="s">
        <v>18</v>
      </c>
      <c r="B75" s="77">
        <f t="shared" ref="B75:AD75" si="19">B27/(B$9/1000)</f>
        <v>0</v>
      </c>
      <c r="C75" s="77">
        <f t="shared" si="19"/>
        <v>0.11531808571977706</v>
      </c>
      <c r="D75" s="77">
        <f t="shared" si="19"/>
        <v>6.7551592528793863E-2</v>
      </c>
      <c r="E75" s="77">
        <f t="shared" si="19"/>
        <v>1.3182674199623353E-2</v>
      </c>
      <c r="F75" s="77">
        <f t="shared" si="19"/>
        <v>0</v>
      </c>
      <c r="G75" s="77">
        <f t="shared" si="19"/>
        <v>0.12562814070351758</v>
      </c>
      <c r="H75" s="77">
        <f t="shared" si="19"/>
        <v>0</v>
      </c>
      <c r="I75" s="77">
        <f t="shared" si="19"/>
        <v>1.5317845289762573E-2</v>
      </c>
      <c r="J75" s="77">
        <f t="shared" si="19"/>
        <v>0</v>
      </c>
      <c r="K75" s="77">
        <f t="shared" si="19"/>
        <v>0</v>
      </c>
      <c r="L75" s="77">
        <f t="shared" si="19"/>
        <v>0</v>
      </c>
      <c r="M75" s="77">
        <f t="shared" si="19"/>
        <v>0</v>
      </c>
      <c r="N75" s="77">
        <f t="shared" si="19"/>
        <v>2.1440823327615779E-2</v>
      </c>
      <c r="O75" s="77">
        <f t="shared" si="19"/>
        <v>0</v>
      </c>
      <c r="P75" s="77">
        <f t="shared" si="19"/>
        <v>0</v>
      </c>
      <c r="Q75" s="77">
        <f t="shared" si="19"/>
        <v>0</v>
      </c>
      <c r="R75" s="77">
        <f t="shared" si="19"/>
        <v>0.10299368305410601</v>
      </c>
      <c r="S75" s="77">
        <f t="shared" si="19"/>
        <v>0</v>
      </c>
      <c r="T75" s="77">
        <f t="shared" si="19"/>
        <v>0</v>
      </c>
      <c r="U75" s="77">
        <f t="shared" si="19"/>
        <v>0</v>
      </c>
      <c r="V75" s="77">
        <f t="shared" si="19"/>
        <v>0.19536701088473346</v>
      </c>
      <c r="W75" s="77">
        <f t="shared" si="19"/>
        <v>4.956015363647627E-2</v>
      </c>
      <c r="X75" s="77">
        <f t="shared" si="19"/>
        <v>1.7818052232347403E-2</v>
      </c>
      <c r="Y75" s="77">
        <f t="shared" si="19"/>
        <v>0</v>
      </c>
      <c r="Z75" s="77">
        <f t="shared" si="19"/>
        <v>0</v>
      </c>
      <c r="AA75" s="77">
        <f t="shared" si="19"/>
        <v>0</v>
      </c>
      <c r="AB75" s="77">
        <f t="shared" si="19"/>
        <v>0</v>
      </c>
      <c r="AC75" s="77">
        <f t="shared" si="19"/>
        <v>0</v>
      </c>
      <c r="AD75" s="77">
        <f t="shared" si="19"/>
        <v>0</v>
      </c>
      <c r="AE75" s="86"/>
      <c r="AF75" s="77">
        <v>3.7676609105180538E-2</v>
      </c>
    </row>
    <row r="76" spans="1:32" x14ac:dyDescent="0.2">
      <c r="A76" s="3" t="s">
        <v>19</v>
      </c>
      <c r="B76" s="77">
        <f t="shared" ref="B76:AD76" si="20">B28/(B$9/1000)</f>
        <v>0.10297544848517695</v>
      </c>
      <c r="C76" s="77">
        <f t="shared" si="20"/>
        <v>0.36517393811262733</v>
      </c>
      <c r="D76" s="77">
        <f t="shared" si="20"/>
        <v>6.4174012902354166E-2</v>
      </c>
      <c r="E76" s="77">
        <f t="shared" si="20"/>
        <v>3.5781544256120526E-2</v>
      </c>
      <c r="F76" s="77">
        <f t="shared" si="20"/>
        <v>6.3483577800795221E-2</v>
      </c>
      <c r="G76" s="77">
        <f t="shared" si="20"/>
        <v>0.34099066762383345</v>
      </c>
      <c r="H76" s="77">
        <f t="shared" si="20"/>
        <v>1</v>
      </c>
      <c r="I76" s="77">
        <f t="shared" si="20"/>
        <v>4.8506510084248146E-2</v>
      </c>
      <c r="J76" s="77">
        <f t="shared" si="20"/>
        <v>3.9893337812585299E-2</v>
      </c>
      <c r="K76" s="77">
        <f t="shared" si="20"/>
        <v>0.44580009385265135</v>
      </c>
      <c r="L76" s="77">
        <f t="shared" si="20"/>
        <v>1.1380977968833961</v>
      </c>
      <c r="M76" s="77">
        <f t="shared" si="20"/>
        <v>0.34617837296164711</v>
      </c>
      <c r="N76" s="77">
        <f t="shared" si="20"/>
        <v>5.8196520460671405E-2</v>
      </c>
      <c r="O76" s="77">
        <f t="shared" si="20"/>
        <v>0.14802119040199438</v>
      </c>
      <c r="P76" s="77">
        <f t="shared" si="20"/>
        <v>0</v>
      </c>
      <c r="Q76" s="77">
        <f t="shared" si="20"/>
        <v>0.12667511167411161</v>
      </c>
      <c r="R76" s="77">
        <f t="shared" si="20"/>
        <v>0</v>
      </c>
      <c r="S76" s="77">
        <f t="shared" si="20"/>
        <v>0.34439006706543412</v>
      </c>
      <c r="T76" s="77">
        <f t="shared" si="20"/>
        <v>0.10901371277755464</v>
      </c>
      <c r="U76" s="77">
        <f t="shared" si="20"/>
        <v>0.50079072219293619</v>
      </c>
      <c r="V76" s="77">
        <f t="shared" si="20"/>
        <v>0.53028188668713372</v>
      </c>
      <c r="W76" s="77">
        <f t="shared" si="20"/>
        <v>0.17742535001858506</v>
      </c>
      <c r="X76" s="77">
        <f t="shared" si="20"/>
        <v>9.6726569261314468E-2</v>
      </c>
      <c r="Y76" s="77">
        <f t="shared" si="20"/>
        <v>0.70290551544061453</v>
      </c>
      <c r="Z76" s="77">
        <f t="shared" si="20"/>
        <v>0.8904414186223043</v>
      </c>
      <c r="AA76" s="77">
        <f t="shared" si="20"/>
        <v>0.9999432181340896</v>
      </c>
      <c r="AB76" s="77">
        <f t="shared" si="20"/>
        <v>0.11096186415931787</v>
      </c>
      <c r="AC76" s="77">
        <f t="shared" si="20"/>
        <v>1.9E-2</v>
      </c>
      <c r="AD76" s="77">
        <f t="shared" si="20"/>
        <v>0.12667511167411161</v>
      </c>
      <c r="AE76" s="86"/>
      <c r="AF76" s="77">
        <v>0.10673173713327321</v>
      </c>
    </row>
    <row r="77" spans="1:32" x14ac:dyDescent="0.2">
      <c r="A77" s="3" t="s">
        <v>28</v>
      </c>
      <c r="B77" s="77">
        <f t="shared" ref="B77:AD77" si="21">B29/(B$9/1000)</f>
        <v>0</v>
      </c>
      <c r="C77" s="77">
        <f t="shared" si="21"/>
        <v>0</v>
      </c>
      <c r="D77" s="77">
        <f t="shared" si="21"/>
        <v>0.25668929645016381</v>
      </c>
      <c r="E77" s="77">
        <f t="shared" si="21"/>
        <v>0</v>
      </c>
      <c r="F77" s="77">
        <f t="shared" si="21"/>
        <v>0</v>
      </c>
      <c r="G77" s="77">
        <f t="shared" si="21"/>
        <v>0</v>
      </c>
      <c r="H77" s="77">
        <f t="shared" si="21"/>
        <v>0</v>
      </c>
      <c r="I77" s="77">
        <f t="shared" si="21"/>
        <v>0</v>
      </c>
      <c r="J77" s="77">
        <f t="shared" si="21"/>
        <v>0</v>
      </c>
      <c r="K77" s="77">
        <f t="shared" si="21"/>
        <v>0</v>
      </c>
      <c r="L77" s="77">
        <f t="shared" si="21"/>
        <v>0</v>
      </c>
      <c r="M77" s="77">
        <f t="shared" si="21"/>
        <v>0</v>
      </c>
      <c r="N77" s="77">
        <f t="shared" si="21"/>
        <v>0</v>
      </c>
      <c r="O77" s="77">
        <f t="shared" si="21"/>
        <v>0</v>
      </c>
      <c r="P77" s="77">
        <f t="shared" si="21"/>
        <v>0</v>
      </c>
      <c r="Q77" s="77">
        <f t="shared" si="21"/>
        <v>0</v>
      </c>
      <c r="R77" s="77">
        <f t="shared" si="21"/>
        <v>0.25686624553694037</v>
      </c>
      <c r="S77" s="77">
        <f t="shared" si="21"/>
        <v>0</v>
      </c>
      <c r="T77" s="77">
        <f t="shared" si="21"/>
        <v>0</v>
      </c>
      <c r="U77" s="77">
        <f t="shared" si="21"/>
        <v>0</v>
      </c>
      <c r="V77" s="77">
        <f t="shared" si="21"/>
        <v>0</v>
      </c>
      <c r="W77" s="77">
        <f t="shared" si="21"/>
        <v>0</v>
      </c>
      <c r="X77" s="77">
        <f t="shared" si="21"/>
        <v>0</v>
      </c>
      <c r="Y77" s="77">
        <f t="shared" si="21"/>
        <v>0</v>
      </c>
      <c r="Z77" s="77">
        <f t="shared" si="21"/>
        <v>0</v>
      </c>
      <c r="AA77" s="77">
        <f t="shared" si="21"/>
        <v>0</v>
      </c>
      <c r="AB77" s="77">
        <f t="shared" si="21"/>
        <v>0</v>
      </c>
      <c r="AC77" s="77">
        <f t="shared" si="21"/>
        <v>0</v>
      </c>
      <c r="AD77" s="77">
        <f t="shared" si="21"/>
        <v>0</v>
      </c>
      <c r="AE77" s="86"/>
      <c r="AF77" s="77">
        <v>0.25674763985420296</v>
      </c>
    </row>
    <row r="78" spans="1:32" x14ac:dyDescent="0.2">
      <c r="A78" s="3" t="s">
        <v>29</v>
      </c>
      <c r="B78" s="77">
        <f t="shared" ref="B78:AD78" si="22">B30/(B$9/1000)</f>
        <v>0</v>
      </c>
      <c r="C78" s="77">
        <f t="shared" si="22"/>
        <v>0</v>
      </c>
      <c r="D78" s="77">
        <f t="shared" si="22"/>
        <v>0.33775796264396934</v>
      </c>
      <c r="E78" s="77">
        <f t="shared" si="22"/>
        <v>0</v>
      </c>
      <c r="F78" s="77">
        <f t="shared" si="22"/>
        <v>0</v>
      </c>
      <c r="G78" s="77">
        <f t="shared" si="22"/>
        <v>0</v>
      </c>
      <c r="H78" s="77">
        <f t="shared" si="22"/>
        <v>0</v>
      </c>
      <c r="I78" s="77">
        <f t="shared" si="22"/>
        <v>0</v>
      </c>
      <c r="J78" s="77">
        <f t="shared" si="22"/>
        <v>0</v>
      </c>
      <c r="K78" s="77">
        <f t="shared" si="22"/>
        <v>0</v>
      </c>
      <c r="L78" s="77">
        <f t="shared" si="22"/>
        <v>0.91348737238044064</v>
      </c>
      <c r="M78" s="77">
        <f t="shared" si="22"/>
        <v>0</v>
      </c>
      <c r="N78" s="77">
        <f t="shared" si="22"/>
        <v>0</v>
      </c>
      <c r="O78" s="77">
        <f t="shared" si="22"/>
        <v>0</v>
      </c>
      <c r="P78" s="77">
        <f t="shared" si="22"/>
        <v>0</v>
      </c>
      <c r="Q78" s="77">
        <f t="shared" si="22"/>
        <v>0</v>
      </c>
      <c r="R78" s="77">
        <f t="shared" si="22"/>
        <v>0</v>
      </c>
      <c r="S78" s="77">
        <f t="shared" si="22"/>
        <v>0</v>
      </c>
      <c r="T78" s="77">
        <f t="shared" si="22"/>
        <v>0</v>
      </c>
      <c r="U78" s="77">
        <f t="shared" si="22"/>
        <v>0</v>
      </c>
      <c r="V78" s="77">
        <f t="shared" si="22"/>
        <v>0</v>
      </c>
      <c r="W78" s="77">
        <f t="shared" si="22"/>
        <v>0</v>
      </c>
      <c r="X78" s="77">
        <f t="shared" si="22"/>
        <v>0</v>
      </c>
      <c r="Y78" s="77">
        <f t="shared" si="22"/>
        <v>5.3699761678035243</v>
      </c>
      <c r="Z78" s="77">
        <f t="shared" si="22"/>
        <v>5.3914173032768318</v>
      </c>
      <c r="AA78" s="77">
        <f t="shared" si="22"/>
        <v>5.727979919602701</v>
      </c>
      <c r="AB78" s="77">
        <f t="shared" si="22"/>
        <v>0</v>
      </c>
      <c r="AC78" s="77">
        <f t="shared" si="22"/>
        <v>0</v>
      </c>
      <c r="AD78" s="77">
        <f t="shared" si="22"/>
        <v>0</v>
      </c>
      <c r="AE78" s="86"/>
      <c r="AF78" s="77">
        <v>1.2561373059724639</v>
      </c>
    </row>
    <row r="79" spans="1:32" x14ac:dyDescent="0.2">
      <c r="A79" s="3" t="s">
        <v>48</v>
      </c>
      <c r="B79" s="77">
        <f t="shared" ref="B79:AD79" si="23">B31/(B$9/1000)</f>
        <v>0</v>
      </c>
      <c r="C79" s="77">
        <f t="shared" si="23"/>
        <v>0</v>
      </c>
      <c r="D79" s="77">
        <f t="shared" si="23"/>
        <v>0</v>
      </c>
      <c r="E79" s="77">
        <f t="shared" si="23"/>
        <v>0</v>
      </c>
      <c r="F79" s="77">
        <f t="shared" si="23"/>
        <v>0</v>
      </c>
      <c r="G79" s="77">
        <f t="shared" si="23"/>
        <v>0</v>
      </c>
      <c r="H79" s="77">
        <f t="shared" si="23"/>
        <v>0</v>
      </c>
      <c r="I79" s="77">
        <f t="shared" si="23"/>
        <v>0</v>
      </c>
      <c r="J79" s="77">
        <f t="shared" si="23"/>
        <v>0</v>
      </c>
      <c r="K79" s="77">
        <f t="shared" si="23"/>
        <v>0</v>
      </c>
      <c r="L79" s="77">
        <f t="shared" si="23"/>
        <v>0</v>
      </c>
      <c r="M79" s="77">
        <f t="shared" si="23"/>
        <v>0</v>
      </c>
      <c r="N79" s="77">
        <f t="shared" si="23"/>
        <v>0</v>
      </c>
      <c r="O79" s="77">
        <f t="shared" si="23"/>
        <v>0</v>
      </c>
      <c r="P79" s="77">
        <f t="shared" si="23"/>
        <v>0</v>
      </c>
      <c r="Q79" s="77">
        <f t="shared" si="23"/>
        <v>0</v>
      </c>
      <c r="R79" s="77">
        <f t="shared" si="23"/>
        <v>0</v>
      </c>
      <c r="S79" s="77">
        <f t="shared" si="23"/>
        <v>0</v>
      </c>
      <c r="T79" s="77">
        <f t="shared" si="23"/>
        <v>0</v>
      </c>
      <c r="U79" s="77">
        <f t="shared" si="23"/>
        <v>0</v>
      </c>
      <c r="V79" s="77">
        <f t="shared" si="23"/>
        <v>0</v>
      </c>
      <c r="W79" s="77">
        <f t="shared" si="23"/>
        <v>0</v>
      </c>
      <c r="X79" s="77">
        <f t="shared" si="23"/>
        <v>0</v>
      </c>
      <c r="Y79" s="77">
        <f t="shared" si="23"/>
        <v>0</v>
      </c>
      <c r="Z79" s="77">
        <f t="shared" si="23"/>
        <v>0</v>
      </c>
      <c r="AA79" s="77">
        <f t="shared" si="23"/>
        <v>0</v>
      </c>
      <c r="AB79" s="77">
        <f t="shared" si="23"/>
        <v>0</v>
      </c>
      <c r="AC79" s="77">
        <f t="shared" si="23"/>
        <v>0</v>
      </c>
      <c r="AD79" s="77">
        <f t="shared" si="23"/>
        <v>0</v>
      </c>
      <c r="AE79" s="86"/>
      <c r="AF79" s="77">
        <v>0</v>
      </c>
    </row>
    <row r="80" spans="1:32" x14ac:dyDescent="0.2">
      <c r="A80" s="3" t="s">
        <v>30</v>
      </c>
      <c r="B80" s="77">
        <f t="shared" ref="B80:AD80" si="24">B32/(B$9/1000)</f>
        <v>0</v>
      </c>
      <c r="C80" s="77">
        <f t="shared" si="24"/>
        <v>0</v>
      </c>
      <c r="D80" s="77">
        <f t="shared" si="24"/>
        <v>0</v>
      </c>
      <c r="E80" s="77">
        <f t="shared" si="24"/>
        <v>0</v>
      </c>
      <c r="F80" s="77">
        <f t="shared" si="24"/>
        <v>0</v>
      </c>
      <c r="G80" s="77">
        <f t="shared" si="24"/>
        <v>0</v>
      </c>
      <c r="H80" s="77">
        <f t="shared" si="24"/>
        <v>0</v>
      </c>
      <c r="I80" s="77">
        <f t="shared" si="24"/>
        <v>0</v>
      </c>
      <c r="J80" s="77">
        <f t="shared" si="24"/>
        <v>0</v>
      </c>
      <c r="K80" s="77">
        <f t="shared" si="24"/>
        <v>0</v>
      </c>
      <c r="L80" s="77">
        <f t="shared" si="24"/>
        <v>0</v>
      </c>
      <c r="M80" s="77">
        <f t="shared" si="24"/>
        <v>0</v>
      </c>
      <c r="N80" s="77">
        <f t="shared" si="24"/>
        <v>0</v>
      </c>
      <c r="O80" s="77">
        <f t="shared" si="24"/>
        <v>0</v>
      </c>
      <c r="P80" s="77">
        <f t="shared" si="24"/>
        <v>0</v>
      </c>
      <c r="Q80" s="77">
        <f t="shared" si="24"/>
        <v>0</v>
      </c>
      <c r="R80" s="77">
        <f t="shared" si="24"/>
        <v>0</v>
      </c>
      <c r="S80" s="77">
        <f t="shared" si="24"/>
        <v>0</v>
      </c>
      <c r="T80" s="77">
        <f t="shared" si="24"/>
        <v>0</v>
      </c>
      <c r="U80" s="77">
        <f t="shared" si="24"/>
        <v>0</v>
      </c>
      <c r="V80" s="77">
        <f t="shared" si="24"/>
        <v>0</v>
      </c>
      <c r="W80" s="77">
        <f t="shared" si="24"/>
        <v>0</v>
      </c>
      <c r="X80" s="77">
        <f t="shared" si="24"/>
        <v>0</v>
      </c>
      <c r="Y80" s="77">
        <f t="shared" si="24"/>
        <v>0</v>
      </c>
      <c r="Z80" s="77">
        <f t="shared" si="24"/>
        <v>0</v>
      </c>
      <c r="AA80" s="77">
        <f t="shared" si="24"/>
        <v>0</v>
      </c>
      <c r="AB80" s="77">
        <f t="shared" si="24"/>
        <v>0</v>
      </c>
      <c r="AC80" s="77">
        <f t="shared" si="24"/>
        <v>0</v>
      </c>
      <c r="AD80" s="77">
        <f t="shared" si="24"/>
        <v>0</v>
      </c>
      <c r="AE80" s="86"/>
      <c r="AF80" s="77">
        <v>0</v>
      </c>
    </row>
    <row r="81" spans="1:62" x14ac:dyDescent="0.2">
      <c r="A81" s="3" t="s">
        <v>50</v>
      </c>
      <c r="B81" s="77">
        <f t="shared" ref="B81:AD81" si="25">B33/(B$9/1000)</f>
        <v>0</v>
      </c>
      <c r="C81" s="77">
        <f t="shared" si="25"/>
        <v>0</v>
      </c>
      <c r="D81" s="77">
        <f t="shared" si="25"/>
        <v>0</v>
      </c>
      <c r="E81" s="77">
        <f t="shared" si="25"/>
        <v>0</v>
      </c>
      <c r="F81" s="77">
        <f t="shared" si="25"/>
        <v>0</v>
      </c>
      <c r="G81" s="77">
        <f t="shared" si="25"/>
        <v>0</v>
      </c>
      <c r="H81" s="77">
        <f t="shared" si="25"/>
        <v>0</v>
      </c>
      <c r="I81" s="77">
        <f t="shared" si="25"/>
        <v>0</v>
      </c>
      <c r="J81" s="77">
        <f t="shared" si="25"/>
        <v>0</v>
      </c>
      <c r="K81" s="77">
        <f t="shared" si="25"/>
        <v>0</v>
      </c>
      <c r="L81" s="77">
        <f t="shared" si="25"/>
        <v>0</v>
      </c>
      <c r="M81" s="77">
        <f t="shared" si="25"/>
        <v>0</v>
      </c>
      <c r="N81" s="77">
        <f t="shared" si="25"/>
        <v>0</v>
      </c>
      <c r="O81" s="77">
        <f t="shared" si="25"/>
        <v>0</v>
      </c>
      <c r="P81" s="77">
        <f t="shared" si="25"/>
        <v>0</v>
      </c>
      <c r="Q81" s="77">
        <f t="shared" si="25"/>
        <v>0</v>
      </c>
      <c r="R81" s="77">
        <f t="shared" si="25"/>
        <v>0</v>
      </c>
      <c r="S81" s="77">
        <f t="shared" si="25"/>
        <v>0</v>
      </c>
      <c r="T81" s="77">
        <f t="shared" si="25"/>
        <v>0</v>
      </c>
      <c r="U81" s="77">
        <f t="shared" si="25"/>
        <v>0</v>
      </c>
      <c r="V81" s="77">
        <f t="shared" si="25"/>
        <v>0</v>
      </c>
      <c r="W81" s="77">
        <f t="shared" si="25"/>
        <v>0</v>
      </c>
      <c r="X81" s="77">
        <f t="shared" si="25"/>
        <v>0</v>
      </c>
      <c r="Y81" s="77">
        <f t="shared" si="25"/>
        <v>0</v>
      </c>
      <c r="Z81" s="77">
        <f t="shared" si="25"/>
        <v>0</v>
      </c>
      <c r="AA81" s="77">
        <f t="shared" si="25"/>
        <v>0</v>
      </c>
      <c r="AB81" s="77">
        <f t="shared" si="25"/>
        <v>0</v>
      </c>
      <c r="AC81" s="77">
        <f t="shared" si="25"/>
        <v>0</v>
      </c>
      <c r="AD81" s="77">
        <f t="shared" si="25"/>
        <v>0</v>
      </c>
      <c r="AE81" s="86"/>
      <c r="AF81" s="77">
        <v>0</v>
      </c>
    </row>
    <row r="82" spans="1:62" x14ac:dyDescent="0.2">
      <c r="A82" s="3" t="s">
        <v>49</v>
      </c>
      <c r="B82" s="77">
        <f t="shared" ref="B82:AD82" si="26">B34/(B$9/1000)</f>
        <v>0</v>
      </c>
      <c r="C82" s="77">
        <f t="shared" si="26"/>
        <v>0</v>
      </c>
      <c r="D82" s="77">
        <f t="shared" si="26"/>
        <v>0</v>
      </c>
      <c r="E82" s="77">
        <f t="shared" si="26"/>
        <v>0</v>
      </c>
      <c r="F82" s="77">
        <f t="shared" si="26"/>
        <v>0</v>
      </c>
      <c r="G82" s="77">
        <f t="shared" si="26"/>
        <v>0</v>
      </c>
      <c r="H82" s="77">
        <f t="shared" si="26"/>
        <v>0</v>
      </c>
      <c r="I82" s="77">
        <f t="shared" si="26"/>
        <v>0</v>
      </c>
      <c r="J82" s="77">
        <f t="shared" si="26"/>
        <v>0</v>
      </c>
      <c r="K82" s="77">
        <f t="shared" si="26"/>
        <v>0</v>
      </c>
      <c r="L82" s="77">
        <f t="shared" si="26"/>
        <v>0</v>
      </c>
      <c r="M82" s="77">
        <f t="shared" si="26"/>
        <v>0</v>
      </c>
      <c r="N82" s="77">
        <f t="shared" si="26"/>
        <v>0</v>
      </c>
      <c r="O82" s="77">
        <f t="shared" si="26"/>
        <v>9.5356808974758493</v>
      </c>
      <c r="P82" s="77">
        <f t="shared" si="26"/>
        <v>0</v>
      </c>
      <c r="Q82" s="77">
        <f t="shared" si="26"/>
        <v>0</v>
      </c>
      <c r="R82" s="77">
        <f t="shared" si="26"/>
        <v>0</v>
      </c>
      <c r="S82" s="77">
        <f t="shared" si="26"/>
        <v>0</v>
      </c>
      <c r="T82" s="77">
        <f t="shared" si="26"/>
        <v>0</v>
      </c>
      <c r="U82" s="77">
        <f t="shared" si="26"/>
        <v>0</v>
      </c>
      <c r="V82" s="77">
        <f t="shared" si="26"/>
        <v>0</v>
      </c>
      <c r="W82" s="77">
        <f t="shared" si="26"/>
        <v>0</v>
      </c>
      <c r="X82" s="77">
        <f t="shared" si="26"/>
        <v>0</v>
      </c>
      <c r="Y82" s="77">
        <f t="shared" si="26"/>
        <v>0</v>
      </c>
      <c r="Z82" s="77">
        <f t="shared" si="26"/>
        <v>0</v>
      </c>
      <c r="AA82" s="77">
        <f t="shared" si="26"/>
        <v>0</v>
      </c>
      <c r="AB82" s="77">
        <f t="shared" si="26"/>
        <v>0</v>
      </c>
      <c r="AC82" s="77">
        <f t="shared" si="26"/>
        <v>0</v>
      </c>
      <c r="AD82" s="77">
        <f t="shared" si="26"/>
        <v>0</v>
      </c>
      <c r="AE82" s="86"/>
      <c r="AF82" s="77">
        <v>9.5356808974758476</v>
      </c>
    </row>
    <row r="83" spans="1:62" s="47" customFormat="1" ht="13.5" thickBot="1" x14ac:dyDescent="0.25">
      <c r="A83" s="10" t="s">
        <v>20</v>
      </c>
      <c r="B83" s="80">
        <f t="shared" ref="B83:AD83" si="27">B35/(B$9/1000)</f>
        <v>2.5708958864018212E-2</v>
      </c>
      <c r="C83" s="80">
        <f t="shared" si="27"/>
        <v>0</v>
      </c>
      <c r="D83" s="80">
        <f t="shared" si="27"/>
        <v>0</v>
      </c>
      <c r="E83" s="80">
        <f t="shared" si="27"/>
        <v>2.2907721280602637E-2</v>
      </c>
      <c r="F83" s="80">
        <f t="shared" si="27"/>
        <v>1.546326305589896E-2</v>
      </c>
      <c r="G83" s="80">
        <f t="shared" si="27"/>
        <v>0</v>
      </c>
      <c r="H83" s="80">
        <f t="shared" si="27"/>
        <v>0.10232558139534884</v>
      </c>
      <c r="I83" s="80">
        <f t="shared" si="27"/>
        <v>3.2678069951493492E-2</v>
      </c>
      <c r="J83" s="80">
        <f t="shared" si="27"/>
        <v>1.4697545509899847E-2</v>
      </c>
      <c r="K83" s="80">
        <f t="shared" si="27"/>
        <v>2.2900046926325669E-2</v>
      </c>
      <c r="L83" s="80">
        <f t="shared" si="27"/>
        <v>0</v>
      </c>
      <c r="M83" s="80">
        <f t="shared" si="27"/>
        <v>4.008034982235583E-2</v>
      </c>
      <c r="N83" s="80">
        <f t="shared" si="27"/>
        <v>5.5323450134770892E-2</v>
      </c>
      <c r="O83" s="80">
        <f t="shared" si="27"/>
        <v>0</v>
      </c>
      <c r="P83" s="80">
        <f t="shared" si="27"/>
        <v>0.38690625000000001</v>
      </c>
      <c r="Q83" s="80">
        <f t="shared" si="27"/>
        <v>1.2067471164744317E-2</v>
      </c>
      <c r="R83" s="80">
        <f t="shared" si="27"/>
        <v>0</v>
      </c>
      <c r="S83" s="80">
        <f t="shared" si="27"/>
        <v>6.3295269168026094E-2</v>
      </c>
      <c r="T83" s="80">
        <f t="shared" si="27"/>
        <v>3.4425382982385677E-3</v>
      </c>
      <c r="U83" s="77">
        <f t="shared" si="27"/>
        <v>0.1783342119135477</v>
      </c>
      <c r="V83" s="80">
        <f t="shared" si="27"/>
        <v>0</v>
      </c>
      <c r="W83" s="80">
        <f t="shared" si="27"/>
        <v>7.4340230454714414E-3</v>
      </c>
      <c r="X83" s="80">
        <f t="shared" si="27"/>
        <v>1.5272616199154916E-3</v>
      </c>
      <c r="Y83" s="80">
        <f t="shared" si="27"/>
        <v>0</v>
      </c>
      <c r="Z83" s="80">
        <f t="shared" si="27"/>
        <v>0</v>
      </c>
      <c r="AA83" s="80">
        <f t="shared" si="27"/>
        <v>0</v>
      </c>
      <c r="AB83" s="80">
        <f t="shared" si="27"/>
        <v>1.7520294340944927E-2</v>
      </c>
      <c r="AC83" s="77">
        <f t="shared" si="27"/>
        <v>0.24638742</v>
      </c>
      <c r="AD83" s="80">
        <f t="shared" si="27"/>
        <v>1.3347556503766917E-2</v>
      </c>
      <c r="AE83" s="212"/>
      <c r="AF83" s="80">
        <v>7.6196895604799031E-2</v>
      </c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</row>
    <row r="84" spans="1:62" ht="15" x14ac:dyDescent="0.25">
      <c r="A84" s="95" t="s">
        <v>54</v>
      </c>
      <c r="B84" s="106" t="s">
        <v>53</v>
      </c>
      <c r="C84" s="106" t="s">
        <v>53</v>
      </c>
      <c r="D84" s="106" t="s">
        <v>53</v>
      </c>
      <c r="E84" s="106" t="s">
        <v>53</v>
      </c>
      <c r="F84" s="106" t="s">
        <v>53</v>
      </c>
      <c r="G84" s="106" t="s">
        <v>53</v>
      </c>
      <c r="H84" s="106" t="s">
        <v>53</v>
      </c>
      <c r="I84" s="106" t="s">
        <v>53</v>
      </c>
      <c r="J84" s="106" t="s">
        <v>53</v>
      </c>
      <c r="K84" s="106" t="s">
        <v>53</v>
      </c>
      <c r="L84" s="106" t="s">
        <v>53</v>
      </c>
      <c r="M84" s="106" t="s">
        <v>53</v>
      </c>
      <c r="N84" s="106" t="s">
        <v>53</v>
      </c>
      <c r="O84" s="106" t="s">
        <v>53</v>
      </c>
      <c r="P84" s="106" t="s">
        <v>53</v>
      </c>
      <c r="Q84" s="106" t="s">
        <v>53</v>
      </c>
      <c r="R84" s="106" t="s">
        <v>53</v>
      </c>
      <c r="S84" s="106" t="s">
        <v>53</v>
      </c>
      <c r="T84" s="106" t="s">
        <v>53</v>
      </c>
      <c r="U84" s="106" t="s">
        <v>53</v>
      </c>
      <c r="V84" s="106" t="s">
        <v>53</v>
      </c>
      <c r="W84" s="106" t="s">
        <v>53</v>
      </c>
      <c r="X84" s="106" t="s">
        <v>53</v>
      </c>
      <c r="Y84" s="106" t="s">
        <v>53</v>
      </c>
      <c r="Z84" s="106" t="s">
        <v>53</v>
      </c>
      <c r="AA84" s="106" t="s">
        <v>53</v>
      </c>
      <c r="AB84" s="106" t="s">
        <v>53</v>
      </c>
      <c r="AC84" s="170"/>
      <c r="AD84" s="106" t="s">
        <v>53</v>
      </c>
      <c r="AE84" s="210"/>
      <c r="AF84" s="106"/>
    </row>
    <row r="85" spans="1:62" x14ac:dyDescent="0.2">
      <c r="A85" s="3" t="s">
        <v>55</v>
      </c>
      <c r="B85" s="82">
        <f t="shared" ref="B85:AD85" si="28">B37/(B$9/1000)</f>
        <v>0.27098802232941305</v>
      </c>
      <c r="C85" s="82">
        <f t="shared" si="28"/>
        <v>1.0109552181433787</v>
      </c>
      <c r="D85" s="82">
        <f t="shared" si="28"/>
        <v>0.35464586077616778</v>
      </c>
      <c r="E85" s="82">
        <f t="shared" si="28"/>
        <v>0.40270433145009416</v>
      </c>
      <c r="F85" s="82">
        <f t="shared" si="28"/>
        <v>0.2338868655818771</v>
      </c>
      <c r="G85" s="82">
        <f t="shared" si="28"/>
        <v>0.80240488155061018</v>
      </c>
      <c r="H85" s="82">
        <f t="shared" si="28"/>
        <v>2.1434108527131781</v>
      </c>
      <c r="I85" s="82">
        <f t="shared" si="28"/>
        <v>0.38294613224406432</v>
      </c>
      <c r="J85" s="82">
        <f t="shared" si="28"/>
        <v>0.10498246792785605</v>
      </c>
      <c r="K85" s="82">
        <f t="shared" si="28"/>
        <v>0.4027217268887846</v>
      </c>
      <c r="L85" s="82">
        <f t="shared" si="28"/>
        <v>0</v>
      </c>
      <c r="M85" s="82">
        <f t="shared" si="28"/>
        <v>0.36439828732804957</v>
      </c>
      <c r="N85" s="82">
        <f t="shared" si="28"/>
        <v>0</v>
      </c>
      <c r="O85" s="82">
        <f t="shared" si="28"/>
        <v>0</v>
      </c>
      <c r="P85" s="82">
        <f t="shared" si="28"/>
        <v>0.625</v>
      </c>
      <c r="Q85" s="82">
        <f t="shared" si="28"/>
        <v>0</v>
      </c>
      <c r="R85" s="82">
        <f t="shared" si="28"/>
        <v>0.38450975006866245</v>
      </c>
      <c r="S85" s="82">
        <f t="shared" si="28"/>
        <v>0</v>
      </c>
      <c r="T85" s="82">
        <f t="shared" si="28"/>
        <v>0.42171094153422456</v>
      </c>
      <c r="U85" s="82">
        <f t="shared" si="28"/>
        <v>0.44807590933052188</v>
      </c>
      <c r="V85" s="82">
        <f t="shared" si="28"/>
        <v>1.2559307842590008</v>
      </c>
      <c r="W85" s="82">
        <f t="shared" si="28"/>
        <v>0.61950192045595343</v>
      </c>
      <c r="X85" s="82">
        <f t="shared" si="28"/>
        <v>0.48363284630657233</v>
      </c>
      <c r="Y85" s="82">
        <f t="shared" si="28"/>
        <v>0</v>
      </c>
      <c r="Z85" s="82">
        <f t="shared" si="28"/>
        <v>0</v>
      </c>
      <c r="AA85" s="82">
        <f t="shared" si="28"/>
        <v>0</v>
      </c>
      <c r="AB85" s="82">
        <f t="shared" si="28"/>
        <v>0.3153652981370087</v>
      </c>
      <c r="AC85" s="82">
        <f t="shared" si="28"/>
        <v>0</v>
      </c>
      <c r="AD85" s="82">
        <f t="shared" si="28"/>
        <v>0.38335889059270617</v>
      </c>
      <c r="AE85" s="54"/>
      <c r="AF85" s="82">
        <v>0.38357623729203966</v>
      </c>
    </row>
    <row r="86" spans="1:62" x14ac:dyDescent="0.2">
      <c r="A86" s="3" t="s">
        <v>56</v>
      </c>
      <c r="B86" s="77">
        <f t="shared" ref="B86:AD86" si="29">B38/(B$9/1000)</f>
        <v>0.2579805972576012</v>
      </c>
      <c r="C86" s="77">
        <f t="shared" si="29"/>
        <v>0.96098404766480872</v>
      </c>
      <c r="D86" s="77">
        <f t="shared" si="29"/>
        <v>0.21278751646570068</v>
      </c>
      <c r="E86" s="77">
        <f t="shared" si="29"/>
        <v>0.27718644067796611</v>
      </c>
      <c r="F86" s="77">
        <f t="shared" si="29"/>
        <v>0.24257409201777541</v>
      </c>
      <c r="G86" s="77">
        <f t="shared" si="29"/>
        <v>0</v>
      </c>
      <c r="H86" s="77">
        <f t="shared" si="29"/>
        <v>2.1317829457364339</v>
      </c>
      <c r="I86" s="77">
        <f t="shared" si="29"/>
        <v>0.154710237426602</v>
      </c>
      <c r="J86" s="77">
        <f t="shared" si="29"/>
        <v>0.14907510445755559</v>
      </c>
      <c r="K86" s="77">
        <f t="shared" si="29"/>
        <v>0.27719380572501173</v>
      </c>
      <c r="L86" s="77">
        <f t="shared" si="29"/>
        <v>2.6598602901665771</v>
      </c>
      <c r="M86" s="77">
        <f t="shared" si="29"/>
        <v>0.22957092101667123</v>
      </c>
      <c r="N86" s="77">
        <f t="shared" si="29"/>
        <v>0.36420607694192597</v>
      </c>
      <c r="O86" s="77">
        <f t="shared" si="29"/>
        <v>0</v>
      </c>
      <c r="P86" s="77">
        <f t="shared" si="29"/>
        <v>0</v>
      </c>
      <c r="Q86" s="77">
        <f t="shared" si="29"/>
        <v>0</v>
      </c>
      <c r="R86" s="77">
        <f t="shared" si="29"/>
        <v>0.24031859379291404</v>
      </c>
      <c r="S86" s="77">
        <f t="shared" si="29"/>
        <v>0.36421968461120174</v>
      </c>
      <c r="T86" s="77">
        <f t="shared" si="29"/>
        <v>0.37753170004016295</v>
      </c>
      <c r="U86" s="77">
        <f t="shared" si="29"/>
        <v>0.24248813916710596</v>
      </c>
      <c r="V86" s="77">
        <f t="shared" si="29"/>
        <v>0</v>
      </c>
      <c r="W86" s="77">
        <f t="shared" si="29"/>
        <v>0</v>
      </c>
      <c r="X86" s="77">
        <f t="shared" si="29"/>
        <v>0.25657995214580259</v>
      </c>
      <c r="Y86" s="77">
        <f t="shared" si="29"/>
        <v>0</v>
      </c>
      <c r="Z86" s="77">
        <f t="shared" si="29"/>
        <v>0</v>
      </c>
      <c r="AA86" s="77">
        <f t="shared" si="29"/>
        <v>0</v>
      </c>
      <c r="AB86" s="77">
        <f t="shared" si="29"/>
        <v>0.28616480756876717</v>
      </c>
      <c r="AC86" s="77">
        <f t="shared" si="29"/>
        <v>0</v>
      </c>
      <c r="AD86" s="77">
        <f t="shared" si="29"/>
        <v>0</v>
      </c>
      <c r="AE86" s="54"/>
      <c r="AF86" s="77">
        <v>0.27399340391183191</v>
      </c>
    </row>
    <row r="87" spans="1:62" ht="13.5" thickBot="1" x14ac:dyDescent="0.25">
      <c r="A87" s="15" t="s">
        <v>57</v>
      </c>
      <c r="B87" s="77">
        <f t="shared" ref="B87:AD87" si="30">B39/(B$9/1000)</f>
        <v>0.32518562679529567</v>
      </c>
      <c r="C87" s="77">
        <f t="shared" si="30"/>
        <v>0</v>
      </c>
      <c r="D87" s="77">
        <f t="shared" si="30"/>
        <v>0</v>
      </c>
      <c r="E87" s="77">
        <f t="shared" si="30"/>
        <v>0</v>
      </c>
      <c r="F87" s="77">
        <f t="shared" si="30"/>
        <v>0.33412409368839585</v>
      </c>
      <c r="G87" s="77">
        <f t="shared" si="30"/>
        <v>0.64608758076094763</v>
      </c>
      <c r="H87" s="77">
        <f t="shared" si="30"/>
        <v>0</v>
      </c>
      <c r="I87" s="77">
        <f t="shared" si="30"/>
        <v>7.6589226448812872E-2</v>
      </c>
      <c r="J87" s="77">
        <f t="shared" si="30"/>
        <v>6.2989480756713623E-2</v>
      </c>
      <c r="K87" s="77">
        <f t="shared" si="30"/>
        <v>0</v>
      </c>
      <c r="L87" s="77">
        <f t="shared" si="30"/>
        <v>0</v>
      </c>
      <c r="M87" s="77">
        <f t="shared" si="30"/>
        <v>0.32795845859524458</v>
      </c>
      <c r="N87" s="77">
        <f t="shared" si="30"/>
        <v>0.34062729723107082</v>
      </c>
      <c r="O87" s="77">
        <f t="shared" si="30"/>
        <v>0</v>
      </c>
      <c r="P87" s="77">
        <f t="shared" si="30"/>
        <v>0</v>
      </c>
      <c r="Q87" s="77">
        <f t="shared" si="30"/>
        <v>6.6671111407427167E-2</v>
      </c>
      <c r="R87" s="77">
        <f t="shared" si="30"/>
        <v>0</v>
      </c>
      <c r="S87" s="77">
        <f t="shared" si="30"/>
        <v>0.3406199021207178</v>
      </c>
      <c r="T87" s="77">
        <f t="shared" si="30"/>
        <v>0.11475127660795226</v>
      </c>
      <c r="U87" s="77">
        <f t="shared" si="30"/>
        <v>0.39536109646810752</v>
      </c>
      <c r="V87" s="77">
        <f t="shared" si="30"/>
        <v>0</v>
      </c>
      <c r="W87" s="77">
        <f t="shared" si="30"/>
        <v>0.55755172841035805</v>
      </c>
      <c r="X87" s="77">
        <f t="shared" si="30"/>
        <v>0</v>
      </c>
      <c r="Y87" s="77">
        <f t="shared" si="30"/>
        <v>0</v>
      </c>
      <c r="Z87" s="77">
        <f t="shared" si="30"/>
        <v>0</v>
      </c>
      <c r="AA87" s="77">
        <f t="shared" si="30"/>
        <v>0</v>
      </c>
      <c r="AB87" s="77">
        <f t="shared" si="30"/>
        <v>0</v>
      </c>
      <c r="AC87" s="77">
        <f t="shared" si="30"/>
        <v>0</v>
      </c>
      <c r="AD87" s="77">
        <f t="shared" si="30"/>
        <v>6.6671111407427167E-2</v>
      </c>
      <c r="AE87" s="7"/>
      <c r="AF87" s="77">
        <v>0.22294750390732737</v>
      </c>
    </row>
    <row r="88" spans="1:62" s="43" customFormat="1" ht="13.5" thickBot="1" x14ac:dyDescent="0.25">
      <c r="A88" s="83" t="s">
        <v>39</v>
      </c>
      <c r="B88" s="84">
        <f t="shared" ref="B88:AD88" si="31">B40/(B$9/1000)</f>
        <v>1.8747712319115497</v>
      </c>
      <c r="C88" s="84">
        <f t="shared" si="31"/>
        <v>4.9324620411301172</v>
      </c>
      <c r="D88" s="84">
        <f t="shared" si="31"/>
        <v>4.2205491944472593</v>
      </c>
      <c r="E88" s="84">
        <f t="shared" si="31"/>
        <v>1.5315367231638417</v>
      </c>
      <c r="F88" s="84">
        <f t="shared" si="31"/>
        <v>1.6040094891242607</v>
      </c>
      <c r="G88" s="84">
        <f t="shared" si="31"/>
        <v>4.8459798994974879</v>
      </c>
      <c r="H88" s="84">
        <f t="shared" si="31"/>
        <v>13.922093023255814</v>
      </c>
      <c r="I88" s="84">
        <f t="shared" si="31"/>
        <v>1.4705131478172071</v>
      </c>
      <c r="J88" s="84">
        <f t="shared" si="31"/>
        <v>0.8816679614504378</v>
      </c>
      <c r="K88" s="84">
        <f t="shared" si="31"/>
        <v>1.8946503988737682</v>
      </c>
      <c r="L88" s="84">
        <f t="shared" si="31"/>
        <v>37.068457818377219</v>
      </c>
      <c r="M88" s="84">
        <f t="shared" si="31"/>
        <v>3.0121719959916189</v>
      </c>
      <c r="N88" s="84">
        <f t="shared" si="31"/>
        <v>2.3026341582945355</v>
      </c>
      <c r="O88" s="84">
        <f t="shared" si="31"/>
        <v>16.064194453100654</v>
      </c>
      <c r="P88" s="84">
        <f t="shared" si="31"/>
        <v>5.765625</v>
      </c>
      <c r="Q88" s="84">
        <f t="shared" si="31"/>
        <v>1.8942462830855391</v>
      </c>
      <c r="R88" s="84">
        <f t="shared" si="31"/>
        <v>3.86705575391376</v>
      </c>
      <c r="S88" s="84">
        <f t="shared" si="31"/>
        <v>2.5613920609026644</v>
      </c>
      <c r="T88" s="84">
        <f t="shared" si="31"/>
        <v>2.4602558953468359</v>
      </c>
      <c r="U88" s="84">
        <f t="shared" si="31"/>
        <v>3.8775962045334738</v>
      </c>
      <c r="V88" s="84">
        <f t="shared" si="31"/>
        <v>7.1602199274351097</v>
      </c>
      <c r="W88" s="84">
        <f t="shared" si="31"/>
        <v>2.7943625325238508</v>
      </c>
      <c r="X88" s="84">
        <f t="shared" si="31"/>
        <v>2.1831084864837345</v>
      </c>
      <c r="Y88" s="84">
        <f t="shared" si="31"/>
        <v>11.332464690096357</v>
      </c>
      <c r="Z88" s="84">
        <f t="shared" si="31"/>
        <v>11.875944406082619</v>
      </c>
      <c r="AA88" s="84">
        <f t="shared" si="31"/>
        <v>17.308714269282902</v>
      </c>
      <c r="AB88" s="84">
        <f t="shared" si="31"/>
        <v>2.1646206856275185</v>
      </c>
      <c r="AC88" s="84">
        <f t="shared" si="31"/>
        <v>2.3278947399999996</v>
      </c>
      <c r="AD88" s="84">
        <f t="shared" si="31"/>
        <v>2.3122208147209813</v>
      </c>
      <c r="AE88" s="87"/>
      <c r="AF88" s="84">
        <v>2.8765116170067566</v>
      </c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</row>
    <row r="89" spans="1:62" ht="15.75" thickBot="1" x14ac:dyDescent="0.3">
      <c r="A89" s="100" t="s">
        <v>40</v>
      </c>
      <c r="B89" s="77">
        <f t="shared" ref="B89:T89" si="32">B41/(B$9/1000)</f>
        <v>0</v>
      </c>
      <c r="C89" s="77">
        <f t="shared" si="32"/>
        <v>0</v>
      </c>
      <c r="D89" s="77">
        <f t="shared" si="32"/>
        <v>0.1013273887931908</v>
      </c>
      <c r="E89" s="77">
        <f t="shared" si="32"/>
        <v>0</v>
      </c>
      <c r="F89" s="77">
        <f t="shared" si="32"/>
        <v>0</v>
      </c>
      <c r="G89" s="77">
        <f t="shared" si="32"/>
        <v>0</v>
      </c>
      <c r="H89" s="77">
        <f t="shared" si="32"/>
        <v>0</v>
      </c>
      <c r="I89" s="77">
        <f t="shared" si="32"/>
        <v>0</v>
      </c>
      <c r="J89" s="77">
        <f t="shared" si="32"/>
        <v>0</v>
      </c>
      <c r="K89" s="77">
        <f t="shared" si="32"/>
        <v>0</v>
      </c>
      <c r="L89" s="77">
        <f t="shared" si="32"/>
        <v>0</v>
      </c>
      <c r="M89" s="77">
        <f t="shared" si="32"/>
        <v>0</v>
      </c>
      <c r="N89" s="77">
        <f t="shared" si="32"/>
        <v>0</v>
      </c>
      <c r="O89" s="77">
        <f t="shared" si="32"/>
        <v>0</v>
      </c>
      <c r="P89" s="77">
        <f t="shared" si="32"/>
        <v>0</v>
      </c>
      <c r="Q89" s="77">
        <f t="shared" si="32"/>
        <v>0</v>
      </c>
      <c r="R89" s="77">
        <f t="shared" si="32"/>
        <v>0.10299368305410601</v>
      </c>
      <c r="S89" s="77">
        <f t="shared" si="32"/>
        <v>0</v>
      </c>
      <c r="T89" s="77">
        <f t="shared" si="32"/>
        <v>0</v>
      </c>
      <c r="U89" s="77">
        <f>U35/(U$9/1000)</f>
        <v>0.1783342119135477</v>
      </c>
      <c r="V89" s="77">
        <f t="shared" ref="V89:AD89" si="33">V41/(V$9/1000)</f>
        <v>0</v>
      </c>
      <c r="W89" s="77">
        <f t="shared" si="33"/>
        <v>0</v>
      </c>
      <c r="X89" s="77">
        <f t="shared" si="33"/>
        <v>0</v>
      </c>
      <c r="Y89" s="77">
        <f t="shared" si="33"/>
        <v>0</v>
      </c>
      <c r="Z89" s="77">
        <f t="shared" si="33"/>
        <v>0</v>
      </c>
      <c r="AA89" s="77">
        <f t="shared" si="33"/>
        <v>0</v>
      </c>
      <c r="AB89" s="77">
        <f t="shared" si="33"/>
        <v>0</v>
      </c>
      <c r="AC89" s="77">
        <f t="shared" si="33"/>
        <v>0</v>
      </c>
      <c r="AD89" s="77">
        <f t="shared" si="33"/>
        <v>0</v>
      </c>
      <c r="AE89" s="86"/>
      <c r="AF89" s="77">
        <v>0.10187679699350252</v>
      </c>
    </row>
    <row r="90" spans="1:62" s="47" customFormat="1" ht="13.5" thickBot="1" x14ac:dyDescent="0.25">
      <c r="A90" s="83" t="s">
        <v>41</v>
      </c>
      <c r="B90" s="84">
        <f t="shared" ref="B90:T90" si="34">B42/(B$9/1000)</f>
        <v>1.8747712319115497</v>
      </c>
      <c r="C90" s="84">
        <f t="shared" si="34"/>
        <v>4.9324620411301172</v>
      </c>
      <c r="D90" s="84">
        <f t="shared" si="34"/>
        <v>4.3218765832404502</v>
      </c>
      <c r="E90" s="84">
        <f t="shared" si="34"/>
        <v>1.5315367231638417</v>
      </c>
      <c r="F90" s="84">
        <f t="shared" si="34"/>
        <v>1.6040094891242607</v>
      </c>
      <c r="G90" s="84">
        <f t="shared" si="34"/>
        <v>4.8459798994974879</v>
      </c>
      <c r="H90" s="84">
        <f t="shared" si="34"/>
        <v>13.922093023255814</v>
      </c>
      <c r="I90" s="84">
        <f t="shared" si="34"/>
        <v>1.4705131478172071</v>
      </c>
      <c r="J90" s="84">
        <f t="shared" si="34"/>
        <v>0.8816679614504378</v>
      </c>
      <c r="K90" s="84">
        <f t="shared" si="34"/>
        <v>1.8946503988737682</v>
      </c>
      <c r="L90" s="84">
        <f t="shared" si="34"/>
        <v>37.068457818377219</v>
      </c>
      <c r="M90" s="84">
        <f t="shared" si="34"/>
        <v>3.0121719959916189</v>
      </c>
      <c r="N90" s="84">
        <f t="shared" si="34"/>
        <v>2.3026341582945355</v>
      </c>
      <c r="O90" s="84">
        <f t="shared" si="34"/>
        <v>16.064194453100654</v>
      </c>
      <c r="P90" s="84">
        <f t="shared" si="34"/>
        <v>5.765625</v>
      </c>
      <c r="Q90" s="84">
        <f t="shared" si="34"/>
        <v>1.8942462830855391</v>
      </c>
      <c r="R90" s="84">
        <f t="shared" si="34"/>
        <v>3.9700494369678658</v>
      </c>
      <c r="S90" s="84">
        <f t="shared" si="34"/>
        <v>2.5613920609026644</v>
      </c>
      <c r="T90" s="84">
        <f t="shared" si="34"/>
        <v>2.4602558953468359</v>
      </c>
      <c r="U90" s="84">
        <f>U42/(U$9/1000)</f>
        <v>3.8775962045334738</v>
      </c>
      <c r="V90" s="84">
        <f t="shared" ref="V90:AD90" si="35">V42/(V$9/1000)</f>
        <v>7.1602199274351097</v>
      </c>
      <c r="W90" s="84">
        <f t="shared" si="35"/>
        <v>2.7943625325238508</v>
      </c>
      <c r="X90" s="84">
        <f t="shared" si="35"/>
        <v>2.1831084864837345</v>
      </c>
      <c r="Y90" s="84">
        <f t="shared" si="35"/>
        <v>11.332464690096357</v>
      </c>
      <c r="Z90" s="84">
        <f t="shared" si="35"/>
        <v>11.875944406082619</v>
      </c>
      <c r="AA90" s="84">
        <f t="shared" si="35"/>
        <v>17.308714269282902</v>
      </c>
      <c r="AB90" s="84">
        <f t="shared" si="35"/>
        <v>2.1646206856275185</v>
      </c>
      <c r="AC90" s="84">
        <f t="shared" si="35"/>
        <v>2.3278947399999996</v>
      </c>
      <c r="AD90" s="84">
        <f t="shared" si="35"/>
        <v>2.3122208147209813</v>
      </c>
      <c r="AE90" s="87"/>
      <c r="AF90" s="84">
        <v>2.8845973377704013</v>
      </c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</row>
    <row r="91" spans="1:62" ht="13.5" thickBot="1" x14ac:dyDescent="0.25">
      <c r="A91" s="33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171"/>
      <c r="AD91" s="79"/>
      <c r="AE91" s="8"/>
      <c r="AF91" s="77"/>
    </row>
    <row r="92" spans="1:62" x14ac:dyDescent="0.2">
      <c r="A92" s="12" t="s">
        <v>58</v>
      </c>
      <c r="B92" s="105"/>
      <c r="C92" s="105"/>
      <c r="D92" s="105"/>
      <c r="E92" s="105"/>
      <c r="F92" s="105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65"/>
      <c r="AD92" s="108"/>
      <c r="AE92" s="13"/>
      <c r="AF92" s="105"/>
    </row>
    <row r="93" spans="1:62" x14ac:dyDescent="0.2">
      <c r="A93" s="3" t="s">
        <v>59</v>
      </c>
      <c r="B93" s="77">
        <f t="shared" ref="B93:AD93" si="36">B45/(B$9/1000)</f>
        <v>0.42323581377703107</v>
      </c>
      <c r="C93" s="77">
        <f t="shared" si="36"/>
        <v>0.4</v>
      </c>
      <c r="D93" s="77">
        <f t="shared" si="36"/>
        <v>0.59415003208700645</v>
      </c>
      <c r="E93" s="77">
        <f t="shared" si="36"/>
        <v>0</v>
      </c>
      <c r="F93" s="77">
        <f t="shared" si="36"/>
        <v>0.50000334124093693</v>
      </c>
      <c r="G93" s="77">
        <f t="shared" si="36"/>
        <v>0</v>
      </c>
      <c r="H93" s="77">
        <f t="shared" si="36"/>
        <v>0</v>
      </c>
      <c r="I93" s="77">
        <f t="shared" si="36"/>
        <v>0</v>
      </c>
      <c r="J93" s="77">
        <f t="shared" si="36"/>
        <v>0</v>
      </c>
      <c r="K93" s="77">
        <f t="shared" si="36"/>
        <v>0</v>
      </c>
      <c r="L93" s="77">
        <f t="shared" si="36"/>
        <v>10.500053734551317</v>
      </c>
      <c r="M93" s="77">
        <f t="shared" si="36"/>
        <v>0.95</v>
      </c>
      <c r="N93" s="77">
        <f t="shared" si="36"/>
        <v>0.25</v>
      </c>
      <c r="O93" s="77">
        <f t="shared" si="36"/>
        <v>0</v>
      </c>
      <c r="P93" s="77">
        <f t="shared" si="36"/>
        <v>4.0999999999999996</v>
      </c>
      <c r="Q93" s="77">
        <f t="shared" si="36"/>
        <v>0</v>
      </c>
      <c r="R93" s="77">
        <f t="shared" si="36"/>
        <v>0</v>
      </c>
      <c r="S93" s="77">
        <f t="shared" si="36"/>
        <v>0.25</v>
      </c>
      <c r="T93" s="77">
        <f t="shared" si="36"/>
        <v>0</v>
      </c>
      <c r="U93" s="77">
        <f t="shared" si="36"/>
        <v>1</v>
      </c>
      <c r="V93" s="77">
        <f t="shared" si="36"/>
        <v>1</v>
      </c>
      <c r="W93" s="77">
        <f t="shared" si="36"/>
        <v>0</v>
      </c>
      <c r="X93" s="77">
        <f t="shared" si="36"/>
        <v>0</v>
      </c>
      <c r="Y93" s="77">
        <f t="shared" si="36"/>
        <v>0</v>
      </c>
      <c r="Z93" s="77">
        <f t="shared" si="36"/>
        <v>0</v>
      </c>
      <c r="AA93" s="77">
        <f t="shared" si="36"/>
        <v>0</v>
      </c>
      <c r="AB93" s="77">
        <f t="shared" si="36"/>
        <v>0</v>
      </c>
      <c r="AC93" s="77">
        <f t="shared" si="36"/>
        <v>0</v>
      </c>
      <c r="AD93" s="77">
        <f t="shared" si="36"/>
        <v>0</v>
      </c>
      <c r="AE93" s="7"/>
      <c r="AF93" s="77">
        <v>0.78652990168946513</v>
      </c>
    </row>
    <row r="94" spans="1:62" x14ac:dyDescent="0.2">
      <c r="A94" s="3" t="s">
        <v>60</v>
      </c>
      <c r="B94" s="77">
        <f t="shared" ref="B94:AD94" si="37">B46/(B$9/1000)</f>
        <v>0</v>
      </c>
      <c r="C94" s="77">
        <f t="shared" si="37"/>
        <v>0</v>
      </c>
      <c r="D94" s="77">
        <f t="shared" si="37"/>
        <v>0</v>
      </c>
      <c r="E94" s="77">
        <f t="shared" si="37"/>
        <v>0.55451977401129948</v>
      </c>
      <c r="F94" s="77">
        <f t="shared" si="37"/>
        <v>0</v>
      </c>
      <c r="G94" s="77">
        <f t="shared" si="37"/>
        <v>0</v>
      </c>
      <c r="H94" s="77">
        <f t="shared" si="37"/>
        <v>3.1344961240310076</v>
      </c>
      <c r="I94" s="77">
        <f t="shared" si="37"/>
        <v>0</v>
      </c>
      <c r="J94" s="77">
        <f t="shared" si="37"/>
        <v>0</v>
      </c>
      <c r="K94" s="77">
        <f t="shared" si="37"/>
        <v>2.5480056311590804</v>
      </c>
      <c r="L94" s="77">
        <f t="shared" si="37"/>
        <v>0</v>
      </c>
      <c r="M94" s="77">
        <f t="shared" si="37"/>
        <v>0</v>
      </c>
      <c r="N94" s="77">
        <f t="shared" si="37"/>
        <v>0</v>
      </c>
      <c r="O94" s="77">
        <f t="shared" si="37"/>
        <v>0</v>
      </c>
      <c r="P94" s="77">
        <f t="shared" si="37"/>
        <v>0</v>
      </c>
      <c r="Q94" s="77">
        <f t="shared" si="37"/>
        <v>0</v>
      </c>
      <c r="R94" s="77">
        <f t="shared" si="37"/>
        <v>0</v>
      </c>
      <c r="S94" s="77">
        <f t="shared" si="37"/>
        <v>0</v>
      </c>
      <c r="T94" s="77">
        <f t="shared" si="37"/>
        <v>0</v>
      </c>
      <c r="U94" s="77">
        <f t="shared" si="37"/>
        <v>0</v>
      </c>
      <c r="V94" s="77">
        <f t="shared" si="37"/>
        <v>0</v>
      </c>
      <c r="W94" s="77">
        <f t="shared" si="37"/>
        <v>0</v>
      </c>
      <c r="X94" s="77">
        <f t="shared" si="37"/>
        <v>0</v>
      </c>
      <c r="Y94" s="77">
        <f t="shared" si="37"/>
        <v>0</v>
      </c>
      <c r="Z94" s="77">
        <f t="shared" si="37"/>
        <v>0</v>
      </c>
      <c r="AA94" s="77">
        <f t="shared" si="37"/>
        <v>0</v>
      </c>
      <c r="AB94" s="77">
        <f t="shared" si="37"/>
        <v>0</v>
      </c>
      <c r="AC94" s="77">
        <f t="shared" si="37"/>
        <v>0</v>
      </c>
      <c r="AD94" s="77">
        <f t="shared" si="37"/>
        <v>0</v>
      </c>
      <c r="AE94" s="7"/>
      <c r="AF94" s="77">
        <v>0.74561427543925751</v>
      </c>
    </row>
    <row r="95" spans="1:62" x14ac:dyDescent="0.2">
      <c r="A95" s="3" t="s">
        <v>61</v>
      </c>
      <c r="B95" s="77">
        <f t="shared" ref="B95:AD95" si="38">B47/(B$9/1000)</f>
        <v>4.6681074196520518</v>
      </c>
      <c r="C95" s="77">
        <f t="shared" si="38"/>
        <v>4.4368633480684219</v>
      </c>
      <c r="D95" s="77">
        <f t="shared" si="38"/>
        <v>3.7620765359543351</v>
      </c>
      <c r="E95" s="77">
        <f t="shared" si="38"/>
        <v>0.5</v>
      </c>
      <c r="F95" s="77">
        <f t="shared" si="38"/>
        <v>4.3615757292258346</v>
      </c>
      <c r="G95" s="77">
        <f t="shared" si="38"/>
        <v>3.8531048097631011</v>
      </c>
      <c r="H95" s="77">
        <f t="shared" si="38"/>
        <v>12.201937984496125</v>
      </c>
      <c r="I95" s="77">
        <f t="shared" si="38"/>
        <v>2.9955169772785295</v>
      </c>
      <c r="J95" s="77">
        <f t="shared" si="38"/>
        <v>3.6326159531358262</v>
      </c>
      <c r="K95" s="77">
        <f t="shared" si="38"/>
        <v>5.3765837634913183</v>
      </c>
      <c r="L95" s="77">
        <f t="shared" si="38"/>
        <v>15</v>
      </c>
      <c r="M95" s="77">
        <f t="shared" si="38"/>
        <v>3.4054705292885123</v>
      </c>
      <c r="N95" s="77">
        <f t="shared" si="38"/>
        <v>3.5759433962264149</v>
      </c>
      <c r="O95" s="77">
        <f t="shared" si="38"/>
        <v>0</v>
      </c>
      <c r="P95" s="77">
        <f t="shared" si="38"/>
        <v>0</v>
      </c>
      <c r="Q95" s="77">
        <f t="shared" si="38"/>
        <v>1</v>
      </c>
      <c r="R95" s="77">
        <f t="shared" si="38"/>
        <v>0</v>
      </c>
      <c r="S95" s="77">
        <f t="shared" si="38"/>
        <v>3.6020482146093893</v>
      </c>
      <c r="T95" s="77">
        <f t="shared" si="38"/>
        <v>4.4895863216478284</v>
      </c>
      <c r="U95" s="77">
        <f t="shared" si="38"/>
        <v>4.0743278861360039</v>
      </c>
      <c r="V95" s="77">
        <f t="shared" si="38"/>
        <v>3.8016020094892546</v>
      </c>
      <c r="W95" s="77">
        <f t="shared" si="38"/>
        <v>4.3956201214223762</v>
      </c>
      <c r="X95" s="77">
        <f t="shared" si="38"/>
        <v>4.1967622053657792</v>
      </c>
      <c r="Y95" s="77">
        <f t="shared" si="38"/>
        <v>0</v>
      </c>
      <c r="Z95" s="77">
        <f t="shared" si="38"/>
        <v>0</v>
      </c>
      <c r="AA95" s="77">
        <f t="shared" si="38"/>
        <v>0</v>
      </c>
      <c r="AB95" s="77">
        <f t="shared" si="38"/>
        <v>4.9321731005080887</v>
      </c>
      <c r="AC95" s="77">
        <f t="shared" si="38"/>
        <v>0</v>
      </c>
      <c r="AD95" s="77">
        <f t="shared" si="38"/>
        <v>1</v>
      </c>
      <c r="AE95" s="7"/>
      <c r="AF95" s="77">
        <v>3.3645165042477263</v>
      </c>
    </row>
    <row r="96" spans="1:62" x14ac:dyDescent="0.2">
      <c r="A96" s="3" t="s">
        <v>62</v>
      </c>
      <c r="B96" s="77">
        <f t="shared" ref="B96:AD96" si="39">B48/(B$9/1000)</f>
        <v>0</v>
      </c>
      <c r="C96" s="77">
        <f t="shared" si="39"/>
        <v>0</v>
      </c>
      <c r="D96" s="77">
        <f t="shared" si="39"/>
        <v>0.20265477758638159</v>
      </c>
      <c r="E96" s="77">
        <f t="shared" si="39"/>
        <v>0</v>
      </c>
      <c r="F96" s="77">
        <f t="shared" si="39"/>
        <v>0</v>
      </c>
      <c r="G96" s="77">
        <f t="shared" si="39"/>
        <v>0</v>
      </c>
      <c r="H96" s="77">
        <f t="shared" si="39"/>
        <v>0</v>
      </c>
      <c r="I96" s="77">
        <f t="shared" si="39"/>
        <v>0</v>
      </c>
      <c r="J96" s="77">
        <f t="shared" si="39"/>
        <v>0</v>
      </c>
      <c r="K96" s="77">
        <f t="shared" si="39"/>
        <v>0.45002346316283437</v>
      </c>
      <c r="L96" s="77">
        <f t="shared" si="39"/>
        <v>0</v>
      </c>
      <c r="M96" s="77">
        <f t="shared" si="39"/>
        <v>0</v>
      </c>
      <c r="N96" s="77">
        <f t="shared" si="39"/>
        <v>0</v>
      </c>
      <c r="O96" s="77">
        <f t="shared" si="39"/>
        <v>0</v>
      </c>
      <c r="P96" s="77">
        <f t="shared" si="39"/>
        <v>0</v>
      </c>
      <c r="Q96" s="77">
        <f t="shared" si="39"/>
        <v>0</v>
      </c>
      <c r="R96" s="77">
        <f t="shared" si="39"/>
        <v>0.89261191980225207</v>
      </c>
      <c r="S96" s="77">
        <f t="shared" si="39"/>
        <v>0</v>
      </c>
      <c r="T96" s="77">
        <f t="shared" si="39"/>
        <v>0</v>
      </c>
      <c r="U96" s="77">
        <f t="shared" si="39"/>
        <v>0</v>
      </c>
      <c r="V96" s="77">
        <f t="shared" si="39"/>
        <v>0</v>
      </c>
      <c r="W96" s="77">
        <f t="shared" si="39"/>
        <v>0</v>
      </c>
      <c r="X96" s="77">
        <f t="shared" si="39"/>
        <v>0</v>
      </c>
      <c r="Y96" s="77">
        <f t="shared" si="39"/>
        <v>0</v>
      </c>
      <c r="Z96" s="77">
        <f t="shared" si="39"/>
        <v>0</v>
      </c>
      <c r="AA96" s="77">
        <f t="shared" si="39"/>
        <v>0</v>
      </c>
      <c r="AB96" s="77">
        <f t="shared" si="39"/>
        <v>0</v>
      </c>
      <c r="AC96" s="77">
        <f t="shared" si="39"/>
        <v>0</v>
      </c>
      <c r="AD96" s="77">
        <f t="shared" si="39"/>
        <v>0</v>
      </c>
      <c r="AE96" s="7"/>
      <c r="AF96" s="77">
        <v>0.43189560836619661</v>
      </c>
    </row>
    <row r="97" spans="1:62" x14ac:dyDescent="0.2">
      <c r="A97" s="3" t="s">
        <v>63</v>
      </c>
      <c r="B97" s="77">
        <f t="shared" ref="B97:AD97" si="40">B49/(B$9/1000)</f>
        <v>0.25759449352338626</v>
      </c>
      <c r="C97" s="77">
        <f t="shared" si="40"/>
        <v>0.11800884105323851</v>
      </c>
      <c r="D97" s="77">
        <f t="shared" si="40"/>
        <v>0.794676934508731</v>
      </c>
      <c r="E97" s="77">
        <f t="shared" si="40"/>
        <v>0.22</v>
      </c>
      <c r="F97" s="77">
        <f t="shared" si="40"/>
        <v>0.14093354271776537</v>
      </c>
      <c r="G97" s="77">
        <f t="shared" si="40"/>
        <v>0.2966949030868628</v>
      </c>
      <c r="H97" s="77">
        <f t="shared" si="40"/>
        <v>9.8519379844961232</v>
      </c>
      <c r="I97" s="77">
        <f t="shared" si="40"/>
        <v>0.17287209599183048</v>
      </c>
      <c r="J97" s="77">
        <f t="shared" si="40"/>
        <v>0.11391857559787516</v>
      </c>
      <c r="K97" s="77">
        <f t="shared" si="40"/>
        <v>0</v>
      </c>
      <c r="L97" s="77">
        <f t="shared" si="40"/>
        <v>4.5000537345513161</v>
      </c>
      <c r="M97" s="77">
        <f t="shared" si="40"/>
        <v>0.21632504327229662</v>
      </c>
      <c r="N97" s="77">
        <f t="shared" si="40"/>
        <v>0.22821612349914236</v>
      </c>
      <c r="O97" s="77">
        <f t="shared" si="40"/>
        <v>0</v>
      </c>
      <c r="P97" s="77">
        <f t="shared" si="40"/>
        <v>0.171875</v>
      </c>
      <c r="Q97" s="77">
        <f t="shared" si="40"/>
        <v>5.2083472231482096E-2</v>
      </c>
      <c r="R97" s="77">
        <f t="shared" si="40"/>
        <v>0.10738808019774787</v>
      </c>
      <c r="S97" s="77">
        <f t="shared" si="40"/>
        <v>0.27184665579119083</v>
      </c>
      <c r="T97" s="77">
        <f t="shared" si="40"/>
        <v>0.22430145160364909</v>
      </c>
      <c r="U97" s="77">
        <f t="shared" si="40"/>
        <v>0.20616763310490246</v>
      </c>
      <c r="V97" s="77">
        <f t="shared" si="40"/>
        <v>0.30226067541166618</v>
      </c>
      <c r="W97" s="77">
        <f t="shared" si="40"/>
        <v>0.21457192417296492</v>
      </c>
      <c r="X97" s="77">
        <f t="shared" si="40"/>
        <v>0.12749961818459501</v>
      </c>
      <c r="Y97" s="77">
        <f t="shared" si="40"/>
        <v>0</v>
      </c>
      <c r="Z97" s="77">
        <f t="shared" si="40"/>
        <v>0</v>
      </c>
      <c r="AA97" s="77">
        <f t="shared" si="40"/>
        <v>0</v>
      </c>
      <c r="AB97" s="77">
        <f t="shared" si="40"/>
        <v>0</v>
      </c>
      <c r="AC97" s="77">
        <f t="shared" si="40"/>
        <v>0</v>
      </c>
      <c r="AD97" s="77">
        <f t="shared" si="40"/>
        <v>5.3790252683512237E-2</v>
      </c>
      <c r="AE97" s="7"/>
      <c r="AF97" s="77">
        <v>0.25931562917985779</v>
      </c>
    </row>
    <row r="98" spans="1:62" ht="13.5" thickBot="1" x14ac:dyDescent="0.25">
      <c r="A98" s="3" t="s">
        <v>22</v>
      </c>
      <c r="B98" s="77">
        <f t="shared" ref="B98:AD98" si="41">B50/(B$9/1000)</f>
        <v>0.40106227304753128</v>
      </c>
      <c r="C98" s="77">
        <f t="shared" si="41"/>
        <v>0.8</v>
      </c>
      <c r="D98" s="77">
        <f t="shared" si="41"/>
        <v>0.33775796264396934</v>
      </c>
      <c r="E98" s="77">
        <f t="shared" si="41"/>
        <v>0</v>
      </c>
      <c r="F98" s="77">
        <f t="shared" si="41"/>
        <v>0.20047445621303753</v>
      </c>
      <c r="G98" s="77">
        <f t="shared" si="41"/>
        <v>0.77946877243359658</v>
      </c>
      <c r="H98" s="77">
        <f t="shared" si="41"/>
        <v>0</v>
      </c>
      <c r="I98" s="77">
        <f t="shared" si="41"/>
        <v>0.15000255297421497</v>
      </c>
      <c r="J98" s="77">
        <f t="shared" si="41"/>
        <v>0.14999895017532072</v>
      </c>
      <c r="K98" s="77">
        <f t="shared" si="41"/>
        <v>0</v>
      </c>
      <c r="L98" s="77">
        <f t="shared" si="41"/>
        <v>10.209564750134337</v>
      </c>
      <c r="M98" s="77">
        <f t="shared" si="41"/>
        <v>0.54659743099207436</v>
      </c>
      <c r="N98" s="77">
        <f t="shared" si="41"/>
        <v>0.39512374418034796</v>
      </c>
      <c r="O98" s="77">
        <f t="shared" si="41"/>
        <v>0</v>
      </c>
      <c r="P98" s="77">
        <f t="shared" si="41"/>
        <v>0</v>
      </c>
      <c r="Q98" s="77">
        <f t="shared" si="41"/>
        <v>0.40002666844456297</v>
      </c>
      <c r="R98" s="77">
        <f t="shared" si="41"/>
        <v>0.27464982147761602</v>
      </c>
      <c r="S98" s="77">
        <f t="shared" si="41"/>
        <v>0.39876744607576581</v>
      </c>
      <c r="T98" s="77">
        <f t="shared" si="41"/>
        <v>0.25</v>
      </c>
      <c r="U98" s="77">
        <f t="shared" si="41"/>
        <v>0.79072219293621504</v>
      </c>
      <c r="V98" s="77">
        <f t="shared" si="41"/>
        <v>0.69773932458833376</v>
      </c>
      <c r="W98" s="77">
        <f t="shared" si="41"/>
        <v>0.58250514186593971</v>
      </c>
      <c r="X98" s="77">
        <f t="shared" si="41"/>
        <v>0.17499999999999999</v>
      </c>
      <c r="Y98" s="77">
        <f t="shared" si="41"/>
        <v>0</v>
      </c>
      <c r="Z98" s="77">
        <f t="shared" si="41"/>
        <v>0</v>
      </c>
      <c r="AA98" s="77">
        <f t="shared" si="41"/>
        <v>0</v>
      </c>
      <c r="AB98" s="77">
        <f t="shared" si="41"/>
        <v>0</v>
      </c>
      <c r="AC98" s="77">
        <f t="shared" si="41"/>
        <v>0.53081506000000001</v>
      </c>
      <c r="AD98" s="77">
        <f t="shared" si="41"/>
        <v>0.40002666844456297</v>
      </c>
      <c r="AE98" s="7"/>
      <c r="AF98" s="77">
        <v>0.40259474637044329</v>
      </c>
    </row>
    <row r="99" spans="1:62" s="43" customFormat="1" ht="13.5" thickBot="1" x14ac:dyDescent="0.25">
      <c r="A99" s="83" t="s">
        <v>42</v>
      </c>
      <c r="B99" s="84">
        <f t="shared" ref="B99:AD99" si="42">SUM(B93:B98)</f>
        <v>5.75</v>
      </c>
      <c r="C99" s="84">
        <f t="shared" si="42"/>
        <v>5.7548721891216603</v>
      </c>
      <c r="D99" s="84">
        <f t="shared" si="42"/>
        <v>5.6913162427804238</v>
      </c>
      <c r="E99" s="84">
        <f t="shared" si="42"/>
        <v>1.2745197740112995</v>
      </c>
      <c r="F99" s="84">
        <f>SUM(F93:F98)</f>
        <v>5.202987069397575</v>
      </c>
      <c r="G99" s="84">
        <f>SUM(G93:G98)</f>
        <v>4.9292684852835604</v>
      </c>
      <c r="H99" s="84">
        <f t="shared" si="42"/>
        <v>25.188372093023254</v>
      </c>
      <c r="I99" s="84">
        <f t="shared" si="42"/>
        <v>3.318391626244575</v>
      </c>
      <c r="J99" s="84">
        <f t="shared" si="42"/>
        <v>3.896533478909022</v>
      </c>
      <c r="K99" s="84">
        <f t="shared" si="42"/>
        <v>8.3746128578132328</v>
      </c>
      <c r="L99" s="84">
        <f t="shared" si="42"/>
        <v>40.209672219236964</v>
      </c>
      <c r="M99" s="84">
        <f t="shared" si="42"/>
        <v>5.1183930035528826</v>
      </c>
      <c r="N99" s="84">
        <f t="shared" si="42"/>
        <v>4.4492832639059055</v>
      </c>
      <c r="O99" s="84">
        <f t="shared" si="42"/>
        <v>0</v>
      </c>
      <c r="P99" s="84">
        <f t="shared" si="42"/>
        <v>4.2718749999999996</v>
      </c>
      <c r="Q99" s="84">
        <f t="shared" si="42"/>
        <v>1.452110140676045</v>
      </c>
      <c r="R99" s="84">
        <f t="shared" si="42"/>
        <v>1.2746498214776161</v>
      </c>
      <c r="S99" s="84">
        <f t="shared" si="42"/>
        <v>4.522662316476346</v>
      </c>
      <c r="T99" s="84">
        <f t="shared" si="42"/>
        <v>4.9638877732514777</v>
      </c>
      <c r="U99" s="84">
        <f t="shared" si="42"/>
        <v>6.0712177121771216</v>
      </c>
      <c r="V99" s="84">
        <f t="shared" si="42"/>
        <v>5.8016020094892546</v>
      </c>
      <c r="W99" s="84">
        <f t="shared" si="42"/>
        <v>5.1926971874612811</v>
      </c>
      <c r="X99" s="84">
        <f t="shared" si="42"/>
        <v>4.4992618235503743</v>
      </c>
      <c r="Y99" s="84">
        <f t="shared" si="42"/>
        <v>0</v>
      </c>
      <c r="Z99" s="84">
        <f t="shared" si="42"/>
        <v>0</v>
      </c>
      <c r="AA99" s="84">
        <f t="shared" si="42"/>
        <v>0</v>
      </c>
      <c r="AB99" s="84">
        <f t="shared" si="42"/>
        <v>4.9321731005080887</v>
      </c>
      <c r="AC99" s="84">
        <f>SUM(AC93:AC98)</f>
        <v>0.53081506000000001</v>
      </c>
      <c r="AD99" s="84">
        <f t="shared" si="42"/>
        <v>1.4538169211280754</v>
      </c>
      <c r="AE99" s="87"/>
      <c r="AF99" s="84">
        <v>3.490895259268362</v>
      </c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</row>
    <row r="100" spans="1:62" ht="13.5" thickBot="1" x14ac:dyDescent="0.25">
      <c r="A100" s="17" t="s">
        <v>32</v>
      </c>
      <c r="B100" s="88"/>
      <c r="C100" s="88"/>
      <c r="D100" s="88"/>
      <c r="E100" s="88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90"/>
      <c r="AF100" s="88">
        <v>0</v>
      </c>
    </row>
    <row r="101" spans="1:62" s="47" customFormat="1" ht="13.5" thickBot="1" x14ac:dyDescent="0.25">
      <c r="A101" s="83" t="s">
        <v>43</v>
      </c>
      <c r="B101" s="84">
        <f t="shared" ref="B101:H101" si="43">B53/(B$9/1000)</f>
        <v>0</v>
      </c>
      <c r="C101" s="84">
        <f t="shared" si="43"/>
        <v>0</v>
      </c>
      <c r="D101" s="84">
        <f t="shared" si="43"/>
        <v>0</v>
      </c>
      <c r="E101" s="84">
        <f t="shared" si="43"/>
        <v>0</v>
      </c>
      <c r="F101" s="84">
        <f t="shared" si="43"/>
        <v>0</v>
      </c>
      <c r="G101" s="84">
        <f>G53/(G$9/1000)</f>
        <v>0</v>
      </c>
      <c r="H101" s="84">
        <f t="shared" si="43"/>
        <v>0</v>
      </c>
      <c r="I101" s="84">
        <f>I53/(I$9/1000)</f>
        <v>0</v>
      </c>
      <c r="J101" s="84">
        <f>J53/(J$9/1000)</f>
        <v>0</v>
      </c>
      <c r="K101" s="84">
        <f>K53/(K$9/1000)</f>
        <v>0</v>
      </c>
      <c r="L101" s="84">
        <f>L53/(L$9/1000)</f>
        <v>0</v>
      </c>
      <c r="M101" s="84">
        <f>M53/(M$9/1000)</f>
        <v>0</v>
      </c>
      <c r="N101" s="84">
        <f t="shared" ref="N101:S101" si="44">N53/(N$9/1000)</f>
        <v>0</v>
      </c>
      <c r="O101" s="84">
        <f t="shared" si="44"/>
        <v>0</v>
      </c>
      <c r="P101" s="84">
        <f t="shared" si="44"/>
        <v>0</v>
      </c>
      <c r="Q101" s="84">
        <f t="shared" si="44"/>
        <v>0</v>
      </c>
      <c r="R101" s="84">
        <f t="shared" si="44"/>
        <v>0</v>
      </c>
      <c r="S101" s="84">
        <f t="shared" si="44"/>
        <v>0</v>
      </c>
      <c r="T101" s="84">
        <f>T53/(T$9/1000)</f>
        <v>0</v>
      </c>
      <c r="U101" s="84">
        <f>U53/(U$9/1000)</f>
        <v>0</v>
      </c>
      <c r="V101" s="84">
        <f>V53/(V$9/1000)</f>
        <v>0</v>
      </c>
      <c r="W101" s="84">
        <f>W53/(W$9/1000)</f>
        <v>0</v>
      </c>
      <c r="X101" s="84">
        <f>X53/(X$9/1000)</f>
        <v>0</v>
      </c>
      <c r="Y101" s="84">
        <f t="shared" ref="Y101:AD101" si="45">Y53/(Y$9/1000)</f>
        <v>0</v>
      </c>
      <c r="Z101" s="84">
        <f t="shared" si="45"/>
        <v>0</v>
      </c>
      <c r="AA101" s="84">
        <f t="shared" si="45"/>
        <v>0</v>
      </c>
      <c r="AB101" s="84">
        <f t="shared" si="45"/>
        <v>0</v>
      </c>
      <c r="AC101" s="84">
        <f>AC53/(AC$9/1000)</f>
        <v>0</v>
      </c>
      <c r="AD101" s="84">
        <f t="shared" si="45"/>
        <v>0</v>
      </c>
      <c r="AE101" s="87"/>
      <c r="AF101" s="84">
        <v>0</v>
      </c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</row>
    <row r="102" spans="1:62" ht="13.5" thickBot="1" x14ac:dyDescent="0.25">
      <c r="A102" s="101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8"/>
      <c r="AF102" s="77"/>
    </row>
    <row r="103" spans="1:62" ht="13.5" thickBot="1" x14ac:dyDescent="0.25">
      <c r="A103" s="83" t="s">
        <v>21</v>
      </c>
      <c r="B103" s="84">
        <f>B55/(B$9/1000)</f>
        <v>0</v>
      </c>
      <c r="C103" s="84">
        <f t="shared" ref="C103:AD103" si="46">C55/(C$9/1000)</f>
        <v>0</v>
      </c>
      <c r="D103" s="84">
        <f t="shared" si="46"/>
        <v>0</v>
      </c>
      <c r="E103" s="84">
        <f t="shared" si="46"/>
        <v>0</v>
      </c>
      <c r="F103" s="84">
        <f t="shared" si="46"/>
        <v>0</v>
      </c>
      <c r="G103" s="84">
        <f>G55/(G$9/1000)</f>
        <v>0</v>
      </c>
      <c r="H103" s="84">
        <f t="shared" si="46"/>
        <v>0</v>
      </c>
      <c r="I103" s="84">
        <f t="shared" si="46"/>
        <v>0</v>
      </c>
      <c r="J103" s="84">
        <f t="shared" si="46"/>
        <v>0</v>
      </c>
      <c r="K103" s="84">
        <f t="shared" si="46"/>
        <v>0</v>
      </c>
      <c r="L103" s="84">
        <f t="shared" si="46"/>
        <v>0</v>
      </c>
      <c r="M103" s="84">
        <f t="shared" si="46"/>
        <v>0</v>
      </c>
      <c r="N103" s="84">
        <f t="shared" si="46"/>
        <v>0</v>
      </c>
      <c r="O103" s="84">
        <f t="shared" si="46"/>
        <v>0</v>
      </c>
      <c r="P103" s="84">
        <f t="shared" si="46"/>
        <v>0</v>
      </c>
      <c r="Q103" s="84">
        <f t="shared" si="46"/>
        <v>0</v>
      </c>
      <c r="R103" s="84">
        <f t="shared" si="46"/>
        <v>0</v>
      </c>
      <c r="S103" s="84">
        <f t="shared" si="46"/>
        <v>0</v>
      </c>
      <c r="T103" s="84">
        <f t="shared" si="46"/>
        <v>0</v>
      </c>
      <c r="U103" s="84">
        <f t="shared" si="46"/>
        <v>0</v>
      </c>
      <c r="V103" s="84">
        <f t="shared" si="46"/>
        <v>0</v>
      </c>
      <c r="W103" s="84">
        <f t="shared" si="46"/>
        <v>0</v>
      </c>
      <c r="X103" s="84">
        <f t="shared" si="46"/>
        <v>0</v>
      </c>
      <c r="Y103" s="84">
        <f t="shared" si="46"/>
        <v>0</v>
      </c>
      <c r="Z103" s="84">
        <f t="shared" si="46"/>
        <v>0</v>
      </c>
      <c r="AA103" s="84">
        <f t="shared" si="46"/>
        <v>0</v>
      </c>
      <c r="AB103" s="84">
        <f t="shared" si="46"/>
        <v>0</v>
      </c>
      <c r="AC103" s="84">
        <f>AC55/(AC$9/1000)</f>
        <v>0</v>
      </c>
      <c r="AD103" s="84">
        <f t="shared" si="46"/>
        <v>0</v>
      </c>
      <c r="AE103" s="102"/>
      <c r="AF103" s="84">
        <v>0</v>
      </c>
    </row>
    <row r="104" spans="1:62" ht="13.5" thickBot="1" x14ac:dyDescent="0.25">
      <c r="A104" s="25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8"/>
      <c r="AF104" s="77"/>
    </row>
    <row r="105" spans="1:62" s="43" customFormat="1" x14ac:dyDescent="0.2">
      <c r="A105" s="62" t="s">
        <v>46</v>
      </c>
      <c r="B105" s="88">
        <f>B57/(B$9/1000)</f>
        <v>7.6247712319115495</v>
      </c>
      <c r="C105" s="88">
        <f t="shared" ref="B105:K106" si="47">C57/(C$9/1000)</f>
        <v>10.687334230251778</v>
      </c>
      <c r="D105" s="88">
        <f t="shared" si="47"/>
        <v>9.9118654372276822</v>
      </c>
      <c r="E105" s="88">
        <f t="shared" si="47"/>
        <v>2.8060564971751414</v>
      </c>
      <c r="F105" s="88">
        <f t="shared" si="47"/>
        <v>6.8069965585218348</v>
      </c>
      <c r="G105" s="88">
        <f>G57/(G$9/1000)</f>
        <v>9.7752483847810474</v>
      </c>
      <c r="H105" s="88">
        <f t="shared" si="47"/>
        <v>39.110465116279073</v>
      </c>
      <c r="I105" s="88">
        <f t="shared" si="47"/>
        <v>4.7889047740617823</v>
      </c>
      <c r="J105" s="88">
        <f t="shared" si="47"/>
        <v>4.7782014403594602</v>
      </c>
      <c r="K105" s="88">
        <f t="shared" si="47"/>
        <v>10.269263256687001</v>
      </c>
      <c r="L105" s="88">
        <f>L57/(L$9/1000)</f>
        <v>77.27813003761419</v>
      </c>
      <c r="M105" s="88">
        <f>M57/(M$9/1000)</f>
        <v>8.130564999544502</v>
      </c>
      <c r="N105" s="88">
        <f t="shared" ref="N105:AD106" si="48">N57/(N$9/1000)</f>
        <v>6.7519174222004414</v>
      </c>
      <c r="O105" s="88">
        <f t="shared" si="48"/>
        <v>16.064194453100654</v>
      </c>
      <c r="P105" s="88">
        <f t="shared" si="48"/>
        <v>10.0375</v>
      </c>
      <c r="Q105" s="88">
        <f t="shared" si="48"/>
        <v>3.3463564237615842</v>
      </c>
      <c r="R105" s="88">
        <f t="shared" si="48"/>
        <v>5.1417055753913763</v>
      </c>
      <c r="S105" s="88">
        <f t="shared" si="48"/>
        <v>7.0840543773790108</v>
      </c>
      <c r="T105" s="88">
        <f t="shared" si="48"/>
        <v>7.4241436685983135</v>
      </c>
      <c r="U105" s="88">
        <f t="shared" si="48"/>
        <v>9.9488139167105949</v>
      </c>
      <c r="V105" s="88">
        <f t="shared" si="48"/>
        <v>12.961821936924364</v>
      </c>
      <c r="W105" s="88">
        <f t="shared" si="48"/>
        <v>7.9870597199851314</v>
      </c>
      <c r="X105" s="88">
        <f t="shared" si="48"/>
        <v>6.6823703100341092</v>
      </c>
      <c r="Y105" s="88">
        <f t="shared" si="48"/>
        <v>11.332464690096357</v>
      </c>
      <c r="Z105" s="88">
        <f t="shared" si="48"/>
        <v>11.875944406082619</v>
      </c>
      <c r="AA105" s="88">
        <f t="shared" si="48"/>
        <v>17.308714269282902</v>
      </c>
      <c r="AB105" s="88">
        <f t="shared" si="48"/>
        <v>7.0967937861356072</v>
      </c>
      <c r="AC105" s="88">
        <f>AC57/(AC$9/1000)</f>
        <v>2.8587097999999997</v>
      </c>
      <c r="AD105" s="88">
        <f t="shared" si="48"/>
        <v>3.7660377358490567</v>
      </c>
      <c r="AE105" s="90"/>
      <c r="AF105" s="88">
        <v>6.2452953328070135</v>
      </c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</row>
    <row r="106" spans="1:62" s="47" customFormat="1" ht="13.5" thickBot="1" x14ac:dyDescent="0.25">
      <c r="A106" s="65" t="s">
        <v>44</v>
      </c>
      <c r="B106" s="80">
        <f t="shared" si="47"/>
        <v>7.6247712319115495</v>
      </c>
      <c r="C106" s="80">
        <f t="shared" si="47"/>
        <v>10.687334230251778</v>
      </c>
      <c r="D106" s="80">
        <f t="shared" si="47"/>
        <v>10.013192826020873</v>
      </c>
      <c r="E106" s="80">
        <f t="shared" si="47"/>
        <v>2.8060564971751414</v>
      </c>
      <c r="F106" s="80">
        <f t="shared" si="47"/>
        <v>6.8069965585218348</v>
      </c>
      <c r="G106" s="80">
        <f>G58/(G$9/1000)</f>
        <v>9.7752483847810474</v>
      </c>
      <c r="H106" s="80">
        <f t="shared" si="47"/>
        <v>39.110465116279073</v>
      </c>
      <c r="I106" s="80">
        <f t="shared" si="47"/>
        <v>4.7889047740617823</v>
      </c>
      <c r="J106" s="80">
        <f t="shared" si="47"/>
        <v>4.7782014403594602</v>
      </c>
      <c r="K106" s="80">
        <f t="shared" si="47"/>
        <v>10.269263256687001</v>
      </c>
      <c r="L106" s="80">
        <f>L58/(L$9/1000)</f>
        <v>77.27813003761419</v>
      </c>
      <c r="M106" s="80">
        <f>M58/(M$9/1000)</f>
        <v>8.130564999544502</v>
      </c>
      <c r="N106" s="80">
        <f t="shared" si="48"/>
        <v>6.7519174222004414</v>
      </c>
      <c r="O106" s="80">
        <f t="shared" si="48"/>
        <v>16.064194453100654</v>
      </c>
      <c r="P106" s="80">
        <f t="shared" si="48"/>
        <v>10.0375</v>
      </c>
      <c r="Q106" s="80">
        <f t="shared" si="48"/>
        <v>3.3463564237615842</v>
      </c>
      <c r="R106" s="80">
        <f t="shared" si="48"/>
        <v>5.2446992584454817</v>
      </c>
      <c r="S106" s="80">
        <f t="shared" si="48"/>
        <v>7.0840543773790108</v>
      </c>
      <c r="T106" s="80">
        <f t="shared" si="48"/>
        <v>7.4241436685983135</v>
      </c>
      <c r="U106" s="80">
        <f t="shared" si="48"/>
        <v>9.9488139167105949</v>
      </c>
      <c r="V106" s="80">
        <f t="shared" si="48"/>
        <v>12.961821936924364</v>
      </c>
      <c r="W106" s="80">
        <f t="shared" si="48"/>
        <v>7.9870597199851314</v>
      </c>
      <c r="X106" s="80">
        <f t="shared" si="48"/>
        <v>6.6823703100341092</v>
      </c>
      <c r="Y106" s="80">
        <f t="shared" si="48"/>
        <v>11.332464690096357</v>
      </c>
      <c r="Z106" s="80">
        <f t="shared" si="48"/>
        <v>11.875944406082619</v>
      </c>
      <c r="AA106" s="80">
        <f t="shared" si="48"/>
        <v>17.308714269282902</v>
      </c>
      <c r="AB106" s="80">
        <f t="shared" si="48"/>
        <v>7.0967937861356072</v>
      </c>
      <c r="AC106" s="80">
        <f>AC58/(AC$9/1000)</f>
        <v>2.8587097999999997</v>
      </c>
      <c r="AD106" s="80">
        <f t="shared" si="48"/>
        <v>3.7660377358490567</v>
      </c>
      <c r="AE106" s="212"/>
      <c r="AF106" s="214">
        <v>6.2533810535706582</v>
      </c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</row>
    <row r="107" spans="1:62" x14ac:dyDescent="0.2">
      <c r="A107" s="25"/>
      <c r="AE107" s="9"/>
      <c r="AF107" s="74"/>
    </row>
    <row r="108" spans="1:62" s="76" customFormat="1" x14ac:dyDescent="0.2">
      <c r="A108" s="91" t="s">
        <v>24</v>
      </c>
      <c r="B108" s="129">
        <v>0</v>
      </c>
      <c r="C108" s="129">
        <v>344084</v>
      </c>
      <c r="D108" s="129">
        <v>0</v>
      </c>
      <c r="E108" s="129">
        <v>11417870</v>
      </c>
      <c r="F108" s="140">
        <v>0</v>
      </c>
      <c r="G108" s="140">
        <v>2178639</v>
      </c>
      <c r="H108" s="140"/>
      <c r="I108" s="140">
        <v>9544769</v>
      </c>
      <c r="J108" s="140"/>
      <c r="K108" s="140"/>
      <c r="L108" s="140"/>
      <c r="M108" s="140"/>
      <c r="N108" s="140">
        <v>8374211</v>
      </c>
      <c r="O108" s="140"/>
      <c r="P108" s="140"/>
      <c r="Q108" s="140"/>
      <c r="R108" s="140"/>
      <c r="S108" s="140">
        <v>7526007</v>
      </c>
      <c r="T108" s="140">
        <v>50385</v>
      </c>
      <c r="U108" s="140">
        <v>10610717.26</v>
      </c>
      <c r="V108" s="140">
        <v>2605784</v>
      </c>
      <c r="W108" s="140">
        <v>3800156</v>
      </c>
      <c r="X108" s="140">
        <v>10973647</v>
      </c>
      <c r="Y108" s="140"/>
      <c r="Z108" s="140"/>
      <c r="AA108" s="140"/>
      <c r="AB108" s="140"/>
      <c r="AC108" s="173"/>
      <c r="AD108" s="140"/>
      <c r="AE108" s="130"/>
      <c r="AF108" s="129">
        <f>SUM(B108:AD108)</f>
        <v>67426269.25999999</v>
      </c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  <c r="BH108" s="92"/>
      <c r="BI108" s="92"/>
      <c r="BJ108" s="92"/>
    </row>
    <row r="109" spans="1:62" s="94" customFormat="1" x14ac:dyDescent="0.2">
      <c r="A109" s="93" t="s">
        <v>25</v>
      </c>
      <c r="B109" s="128">
        <v>0</v>
      </c>
      <c r="C109" s="128">
        <v>411779</v>
      </c>
      <c r="D109" s="128">
        <v>0</v>
      </c>
      <c r="E109" s="128">
        <v>12683167</v>
      </c>
      <c r="F109" s="141">
        <v>0</v>
      </c>
      <c r="G109" s="141">
        <v>3024153</v>
      </c>
      <c r="H109" s="141"/>
      <c r="I109" s="141">
        <v>12030364</v>
      </c>
      <c r="J109" s="141"/>
      <c r="K109" s="141"/>
      <c r="L109" s="141"/>
      <c r="M109" s="141"/>
      <c r="N109" s="141">
        <v>9637273</v>
      </c>
      <c r="O109" s="141"/>
      <c r="P109" s="141"/>
      <c r="Q109" s="141"/>
      <c r="R109" s="141"/>
      <c r="S109" s="141">
        <v>10836188</v>
      </c>
      <c r="T109" s="141">
        <v>50749</v>
      </c>
      <c r="U109" s="141">
        <v>21898822</v>
      </c>
      <c r="V109" s="141">
        <v>2959929</v>
      </c>
      <c r="W109" s="141">
        <v>5442835</v>
      </c>
      <c r="X109" s="141">
        <v>13639671</v>
      </c>
      <c r="Y109" s="141"/>
      <c r="Z109" s="141"/>
      <c r="AA109" s="141"/>
      <c r="AB109" s="141"/>
      <c r="AC109" s="174"/>
      <c r="AD109" s="141"/>
      <c r="AE109" s="131"/>
      <c r="AF109" s="128">
        <f>SUM(B109:AD109)</f>
        <v>92614930</v>
      </c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  <c r="BH109" s="92"/>
      <c r="BI109" s="92"/>
      <c r="BJ109" s="92"/>
    </row>
    <row r="110" spans="1:62" x14ac:dyDescent="0.2">
      <c r="AE110" s="22"/>
    </row>
    <row r="111" spans="1:62" x14ac:dyDescent="0.2">
      <c r="AE111" s="22"/>
    </row>
    <row r="112" spans="1:62" x14ac:dyDescent="0.2">
      <c r="AE112" s="22"/>
    </row>
    <row r="113" spans="31:31" x14ac:dyDescent="0.2">
      <c r="AE113" s="22"/>
    </row>
    <row r="114" spans="31:31" x14ac:dyDescent="0.2">
      <c r="AE114" s="22"/>
    </row>
    <row r="115" spans="31:31" x14ac:dyDescent="0.2">
      <c r="AE115" s="22"/>
    </row>
    <row r="116" spans="31:31" x14ac:dyDescent="0.2">
      <c r="AE116" s="22"/>
    </row>
    <row r="117" spans="31:31" x14ac:dyDescent="0.2">
      <c r="AE117" s="22"/>
    </row>
    <row r="118" spans="31:31" x14ac:dyDescent="0.2">
      <c r="AE118" s="22"/>
    </row>
    <row r="119" spans="31:31" x14ac:dyDescent="0.2">
      <c r="AE119" s="22"/>
    </row>
    <row r="120" spans="31:31" x14ac:dyDescent="0.2">
      <c r="AE120" s="22"/>
    </row>
    <row r="121" spans="31:31" x14ac:dyDescent="0.2">
      <c r="AE121" s="22"/>
    </row>
    <row r="122" spans="31:31" x14ac:dyDescent="0.2">
      <c r="AE122" s="22"/>
    </row>
    <row r="123" spans="31:31" x14ac:dyDescent="0.2">
      <c r="AE123" s="22"/>
    </row>
    <row r="124" spans="31:31" x14ac:dyDescent="0.2">
      <c r="AE124" s="22"/>
    </row>
    <row r="125" spans="31:31" x14ac:dyDescent="0.2">
      <c r="AE125" s="22"/>
    </row>
    <row r="126" spans="31:31" x14ac:dyDescent="0.2">
      <c r="AE126" s="22"/>
    </row>
    <row r="127" spans="31:31" x14ac:dyDescent="0.2">
      <c r="AE127" s="22"/>
    </row>
    <row r="128" spans="31:31" x14ac:dyDescent="0.2">
      <c r="AE128" s="22"/>
    </row>
    <row r="129" spans="31:31" x14ac:dyDescent="0.2">
      <c r="AE129" s="22"/>
    </row>
    <row r="130" spans="31:31" x14ac:dyDescent="0.2">
      <c r="AE130" s="22"/>
    </row>
    <row r="131" spans="31:31" x14ac:dyDescent="0.2">
      <c r="AE131" s="22"/>
    </row>
    <row r="132" spans="31:31" x14ac:dyDescent="0.2">
      <c r="AE132" s="22"/>
    </row>
    <row r="133" spans="31:31" x14ac:dyDescent="0.2">
      <c r="AE133" s="22"/>
    </row>
    <row r="134" spans="31:31" x14ac:dyDescent="0.2">
      <c r="AE134" s="22"/>
    </row>
    <row r="135" spans="31:31" x14ac:dyDescent="0.2">
      <c r="AE135" s="22"/>
    </row>
    <row r="136" spans="31:31" x14ac:dyDescent="0.2">
      <c r="AE136" s="22"/>
    </row>
    <row r="137" spans="31:31" x14ac:dyDescent="0.2">
      <c r="AE137" s="22"/>
    </row>
    <row r="138" spans="31:31" x14ac:dyDescent="0.2">
      <c r="AE138" s="22"/>
    </row>
    <row r="139" spans="31:31" x14ac:dyDescent="0.2">
      <c r="AE139" s="22"/>
    </row>
    <row r="140" spans="31:31" x14ac:dyDescent="0.2">
      <c r="AE140" s="22"/>
    </row>
    <row r="141" spans="31:31" x14ac:dyDescent="0.2">
      <c r="AE141" s="22"/>
    </row>
    <row r="142" spans="31:31" x14ac:dyDescent="0.2">
      <c r="AE142" s="22"/>
    </row>
    <row r="143" spans="31:31" x14ac:dyDescent="0.2">
      <c r="AE143" s="22"/>
    </row>
    <row r="144" spans="31:31" x14ac:dyDescent="0.2">
      <c r="AE144" s="22"/>
    </row>
    <row r="145" spans="31:31" x14ac:dyDescent="0.2">
      <c r="AE145" s="22"/>
    </row>
    <row r="146" spans="31:31" x14ac:dyDescent="0.2">
      <c r="AE146" s="22"/>
    </row>
    <row r="147" spans="31:31" x14ac:dyDescent="0.2">
      <c r="AE147" s="22"/>
    </row>
    <row r="148" spans="31:31" x14ac:dyDescent="0.2">
      <c r="AE148" s="22"/>
    </row>
    <row r="149" spans="31:31" x14ac:dyDescent="0.2">
      <c r="AE149" s="22"/>
    </row>
    <row r="150" spans="31:31" x14ac:dyDescent="0.2">
      <c r="AE150" s="22"/>
    </row>
    <row r="151" spans="31:31" x14ac:dyDescent="0.2">
      <c r="AE151" s="22"/>
    </row>
    <row r="152" spans="31:31" x14ac:dyDescent="0.2">
      <c r="AE152" s="22"/>
    </row>
    <row r="153" spans="31:31" x14ac:dyDescent="0.2">
      <c r="AE153" s="22"/>
    </row>
    <row r="154" spans="31:31" x14ac:dyDescent="0.2">
      <c r="AE154" s="22"/>
    </row>
    <row r="155" spans="31:31" x14ac:dyDescent="0.2">
      <c r="AE155" s="22"/>
    </row>
    <row r="156" spans="31:31" x14ac:dyDescent="0.2">
      <c r="AE156" s="22"/>
    </row>
    <row r="157" spans="31:31" x14ac:dyDescent="0.2">
      <c r="AE157" s="22"/>
    </row>
    <row r="158" spans="31:31" x14ac:dyDescent="0.2">
      <c r="AE158" s="22"/>
    </row>
    <row r="159" spans="31:31" x14ac:dyDescent="0.2">
      <c r="AE159" s="22"/>
    </row>
    <row r="160" spans="31:31" x14ac:dyDescent="0.2">
      <c r="AE160" s="22"/>
    </row>
    <row r="161" spans="31:31" x14ac:dyDescent="0.2">
      <c r="AE161" s="22"/>
    </row>
    <row r="162" spans="31:31" x14ac:dyDescent="0.2">
      <c r="AE162" s="22"/>
    </row>
    <row r="163" spans="31:31" x14ac:dyDescent="0.2">
      <c r="AE163" s="22"/>
    </row>
    <row r="164" spans="31:31" x14ac:dyDescent="0.2">
      <c r="AE164" s="22"/>
    </row>
    <row r="165" spans="31:31" x14ac:dyDescent="0.2">
      <c r="AE165" s="22"/>
    </row>
    <row r="166" spans="31:31" x14ac:dyDescent="0.2">
      <c r="AE166" s="22"/>
    </row>
    <row r="167" spans="31:31" x14ac:dyDescent="0.2">
      <c r="AE167" s="22"/>
    </row>
    <row r="168" spans="31:31" x14ac:dyDescent="0.2">
      <c r="AE168" s="22"/>
    </row>
    <row r="169" spans="31:31" x14ac:dyDescent="0.2">
      <c r="AE169" s="22"/>
    </row>
  </sheetData>
  <dataValidations count="1">
    <dataValidation type="list" allowBlank="1" showInputMessage="1" showErrorMessage="1" sqref="B2:AD2">
      <formula1>#REF!</formula1>
    </dataValidation>
  </dataValidations>
  <pageMargins left="0.75" right="0.75" top="1" bottom="1" header="0.5" footer="0.5"/>
  <pageSetup scale="5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20"/>
  <sheetViews>
    <sheetView zoomScaleNormal="100" zoomScaleSheetLayoutView="100" workbookViewId="0">
      <pane xSplit="1" topLeftCell="B1" activePane="topRight" state="frozen"/>
      <selection pane="topRight" activeCell="A55" sqref="A55"/>
    </sheetView>
  </sheetViews>
  <sheetFormatPr defaultColWidth="11.42578125" defaultRowHeight="12.75" x14ac:dyDescent="0.2"/>
  <cols>
    <col min="1" max="1" width="45" style="21" customWidth="1"/>
    <col min="2" max="25" width="15.5703125" style="22" customWidth="1"/>
    <col min="26" max="26" width="1.5703125" style="1" customWidth="1"/>
    <col min="27" max="27" width="13.85546875" style="22" bestFit="1" customWidth="1"/>
    <col min="28" max="16384" width="11.42578125" style="22"/>
  </cols>
  <sheetData>
    <row r="1" spans="1:58" x14ac:dyDescent="0.2">
      <c r="G1" s="22" t="s">
        <v>53</v>
      </c>
      <c r="Z1" s="22"/>
    </row>
    <row r="2" spans="1:58" s="26" customFormat="1" ht="15" x14ac:dyDescent="0.25">
      <c r="A2" s="97" t="s">
        <v>0</v>
      </c>
      <c r="B2" s="103" t="s">
        <v>69</v>
      </c>
      <c r="C2" s="103" t="s">
        <v>77</v>
      </c>
      <c r="D2" s="103" t="s">
        <v>81</v>
      </c>
      <c r="E2" s="103" t="s">
        <v>81</v>
      </c>
      <c r="F2" s="103" t="s">
        <v>66</v>
      </c>
      <c r="G2" s="103" t="s">
        <v>77</v>
      </c>
      <c r="H2" s="103" t="s">
        <v>51</v>
      </c>
      <c r="I2" s="103" t="s">
        <v>51</v>
      </c>
      <c r="J2" s="103" t="s">
        <v>74</v>
      </c>
      <c r="K2" s="103" t="s">
        <v>74</v>
      </c>
      <c r="L2" s="103" t="s">
        <v>74</v>
      </c>
      <c r="M2" s="103" t="s">
        <v>64</v>
      </c>
      <c r="N2" s="103" t="s">
        <v>67</v>
      </c>
      <c r="O2" s="103" t="s">
        <v>51</v>
      </c>
      <c r="P2" s="103" t="s">
        <v>81</v>
      </c>
      <c r="Q2" s="103" t="s">
        <v>68</v>
      </c>
      <c r="R2" s="103" t="s">
        <v>75</v>
      </c>
      <c r="S2" s="103" t="s">
        <v>66</v>
      </c>
      <c r="T2" s="103" t="s">
        <v>67</v>
      </c>
      <c r="U2" s="103" t="s">
        <v>70</v>
      </c>
      <c r="V2" s="103" t="s">
        <v>70</v>
      </c>
      <c r="W2" s="103" t="s">
        <v>51</v>
      </c>
      <c r="X2" s="103" t="s">
        <v>74</v>
      </c>
      <c r="Y2" s="103" t="s">
        <v>74</v>
      </c>
      <c r="Z2" s="23"/>
      <c r="AA2" s="135" t="s">
        <v>1</v>
      </c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</row>
    <row r="3" spans="1:58" ht="15.75" x14ac:dyDescent="0.25">
      <c r="A3" s="27"/>
      <c r="B3" s="28"/>
      <c r="C3" s="104"/>
      <c r="D3" s="104"/>
      <c r="E3" s="104"/>
      <c r="F3" s="104"/>
      <c r="G3" s="104"/>
      <c r="H3" s="104"/>
      <c r="I3" s="104"/>
      <c r="J3" s="137" t="s">
        <v>53</v>
      </c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37" t="s">
        <v>53</v>
      </c>
      <c r="W3" s="104"/>
      <c r="X3" s="104"/>
      <c r="Y3" s="104"/>
      <c r="Z3" s="29"/>
      <c r="AA3" s="28"/>
    </row>
    <row r="4" spans="1:58" s="26" customFormat="1" ht="51.75" x14ac:dyDescent="0.25">
      <c r="A4" s="97" t="s">
        <v>2</v>
      </c>
      <c r="B4" s="216" t="s">
        <v>209</v>
      </c>
      <c r="C4" s="216" t="s">
        <v>210</v>
      </c>
      <c r="D4" s="216" t="s">
        <v>211</v>
      </c>
      <c r="E4" s="216" t="s">
        <v>212</v>
      </c>
      <c r="F4" s="216" t="s">
        <v>213</v>
      </c>
      <c r="G4" s="216" t="s">
        <v>214</v>
      </c>
      <c r="H4" s="216" t="s">
        <v>215</v>
      </c>
      <c r="I4" s="216" t="s">
        <v>216</v>
      </c>
      <c r="J4" s="216" t="s">
        <v>217</v>
      </c>
      <c r="K4" s="216" t="s">
        <v>218</v>
      </c>
      <c r="L4" s="216" t="s">
        <v>219</v>
      </c>
      <c r="M4" s="216" t="s">
        <v>220</v>
      </c>
      <c r="N4" s="216" t="s">
        <v>221</v>
      </c>
      <c r="O4" s="216" t="s">
        <v>222</v>
      </c>
      <c r="P4" s="216" t="s">
        <v>223</v>
      </c>
      <c r="Q4" s="216" t="s">
        <v>224</v>
      </c>
      <c r="R4" s="216" t="s">
        <v>225</v>
      </c>
      <c r="S4" s="216" t="s">
        <v>226</v>
      </c>
      <c r="T4" s="216" t="s">
        <v>227</v>
      </c>
      <c r="U4" s="216" t="s">
        <v>228</v>
      </c>
      <c r="V4" s="216" t="s">
        <v>229</v>
      </c>
      <c r="W4" s="216" t="s">
        <v>230</v>
      </c>
      <c r="X4" s="216" t="s">
        <v>231</v>
      </c>
      <c r="Y4" s="216" t="s">
        <v>232</v>
      </c>
      <c r="Z4" s="30"/>
      <c r="AA4" s="18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</row>
    <row r="5" spans="1:58" ht="12.75" customHeight="1" x14ac:dyDescent="0.2">
      <c r="A5" s="2"/>
      <c r="B5" s="3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7"/>
      <c r="AA5" s="31"/>
    </row>
    <row r="6" spans="1:58" s="26" customFormat="1" ht="15" x14ac:dyDescent="0.25">
      <c r="A6" s="97" t="s">
        <v>3</v>
      </c>
      <c r="B6" s="19" t="s">
        <v>150</v>
      </c>
      <c r="C6" s="19" t="s">
        <v>52</v>
      </c>
      <c r="D6" s="24" t="s">
        <v>150</v>
      </c>
      <c r="E6" s="24" t="s">
        <v>150</v>
      </c>
      <c r="F6" s="19" t="s">
        <v>52</v>
      </c>
      <c r="G6" s="19" t="s">
        <v>150</v>
      </c>
      <c r="H6" s="19" t="s">
        <v>52</v>
      </c>
      <c r="I6" s="19" t="s">
        <v>52</v>
      </c>
      <c r="J6" s="19" t="s">
        <v>150</v>
      </c>
      <c r="K6" s="19" t="s">
        <v>150</v>
      </c>
      <c r="L6" s="19" t="s">
        <v>150</v>
      </c>
      <c r="M6" s="19" t="s">
        <v>150</v>
      </c>
      <c r="N6" s="19" t="s">
        <v>150</v>
      </c>
      <c r="O6" s="19" t="s">
        <v>52</v>
      </c>
      <c r="P6" s="19" t="s">
        <v>150</v>
      </c>
      <c r="Q6" s="19" t="s">
        <v>150</v>
      </c>
      <c r="R6" s="19" t="s">
        <v>150</v>
      </c>
      <c r="S6" s="19" t="s">
        <v>52</v>
      </c>
      <c r="T6" s="19" t="s">
        <v>150</v>
      </c>
      <c r="U6" s="19" t="s">
        <v>52</v>
      </c>
      <c r="V6" s="19" t="s">
        <v>52</v>
      </c>
      <c r="W6" s="19" t="s">
        <v>52</v>
      </c>
      <c r="X6" s="19" t="s">
        <v>52</v>
      </c>
      <c r="Y6" s="19" t="s">
        <v>52</v>
      </c>
      <c r="Z6" s="32"/>
      <c r="AA6" s="19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</row>
    <row r="7" spans="1:58" x14ac:dyDescent="0.2">
      <c r="A7" s="33" t="s">
        <v>4</v>
      </c>
      <c r="B7" s="34">
        <v>644095000</v>
      </c>
      <c r="C7" s="35">
        <v>977810000</v>
      </c>
      <c r="D7" s="35">
        <v>6040000</v>
      </c>
      <c r="E7" s="35">
        <v>7580000</v>
      </c>
      <c r="F7" s="35">
        <v>32350000</v>
      </c>
      <c r="G7" s="35"/>
      <c r="H7" s="35"/>
      <c r="I7" s="35"/>
      <c r="J7" s="35">
        <v>849465000</v>
      </c>
      <c r="K7" s="35">
        <v>1110415000</v>
      </c>
      <c r="L7" s="35">
        <v>31500000</v>
      </c>
      <c r="M7" s="35">
        <f>22335000+82410000</f>
        <v>104745000</v>
      </c>
      <c r="N7" s="35">
        <v>55000000</v>
      </c>
      <c r="O7" s="35">
        <v>74995000</v>
      </c>
      <c r="P7" s="35">
        <v>5250000</v>
      </c>
      <c r="Q7" s="35">
        <v>149030000</v>
      </c>
      <c r="R7" s="35">
        <v>86775000</v>
      </c>
      <c r="S7" s="35">
        <v>129540000</v>
      </c>
      <c r="T7" s="35">
        <v>49450000</v>
      </c>
      <c r="U7" s="35">
        <v>118650000</v>
      </c>
      <c r="V7" s="35"/>
      <c r="W7" s="35">
        <v>74995000</v>
      </c>
      <c r="X7" s="35">
        <v>63090000</v>
      </c>
      <c r="Y7" s="35">
        <v>50775000</v>
      </c>
      <c r="Z7" s="36"/>
      <c r="AA7" s="34">
        <f>SUM(B7:Y7)</f>
        <v>4621550000</v>
      </c>
    </row>
    <row r="8" spans="1:58" x14ac:dyDescent="0.2">
      <c r="A8" s="37" t="s">
        <v>5</v>
      </c>
      <c r="B8" s="34"/>
      <c r="C8" s="35"/>
      <c r="D8" s="35"/>
      <c r="E8" s="35"/>
      <c r="F8" s="35"/>
      <c r="G8" s="35">
        <v>149275000</v>
      </c>
      <c r="H8" s="35">
        <v>16480000</v>
      </c>
      <c r="I8" s="35">
        <v>49995000</v>
      </c>
      <c r="J8" s="35"/>
      <c r="K8" s="35"/>
      <c r="L8" s="35"/>
      <c r="M8" s="35">
        <v>22955000</v>
      </c>
      <c r="N8" s="35"/>
      <c r="O8" s="35"/>
      <c r="P8" s="35"/>
      <c r="Q8" s="35"/>
      <c r="R8" s="35"/>
      <c r="S8" s="35"/>
      <c r="T8" s="35"/>
      <c r="U8" s="35">
        <v>27020000</v>
      </c>
      <c r="V8" s="35">
        <v>6570000</v>
      </c>
      <c r="W8" s="35"/>
      <c r="X8" s="35">
        <v>280930000</v>
      </c>
      <c r="Y8" s="35">
        <v>232045000</v>
      </c>
      <c r="Z8" s="38"/>
      <c r="AA8" s="34">
        <f t="shared" ref="AA8:AA60" si="0">SUM(B8:Y8)</f>
        <v>785270000</v>
      </c>
    </row>
    <row r="9" spans="1:58" s="41" customFormat="1" x14ac:dyDescent="0.2">
      <c r="A9" s="39" t="s">
        <v>6</v>
      </c>
      <c r="B9" s="111">
        <f>B7+B8</f>
        <v>644095000</v>
      </c>
      <c r="C9" s="111">
        <f>C7+C8</f>
        <v>977810000</v>
      </c>
      <c r="D9" s="111">
        <f>D7+D8</f>
        <v>6040000</v>
      </c>
      <c r="E9" s="111">
        <f t="shared" ref="E9:V9" si="1">SUM(E7:E8)</f>
        <v>7580000</v>
      </c>
      <c r="F9" s="111">
        <f t="shared" si="1"/>
        <v>32350000</v>
      </c>
      <c r="G9" s="111">
        <f>SUM(G7:G8)</f>
        <v>149275000</v>
      </c>
      <c r="H9" s="111">
        <f t="shared" si="1"/>
        <v>16480000</v>
      </c>
      <c r="I9" s="111">
        <f t="shared" si="1"/>
        <v>49995000</v>
      </c>
      <c r="J9" s="111">
        <f t="shared" si="1"/>
        <v>849465000</v>
      </c>
      <c r="K9" s="111">
        <f t="shared" si="1"/>
        <v>1110415000</v>
      </c>
      <c r="L9" s="111">
        <f t="shared" si="1"/>
        <v>31500000</v>
      </c>
      <c r="M9" s="111">
        <f t="shared" si="1"/>
        <v>127700000</v>
      </c>
      <c r="N9" s="111">
        <f t="shared" si="1"/>
        <v>55000000</v>
      </c>
      <c r="O9" s="111">
        <f t="shared" si="1"/>
        <v>74995000</v>
      </c>
      <c r="P9" s="111">
        <f t="shared" si="1"/>
        <v>5250000</v>
      </c>
      <c r="Q9" s="111">
        <f t="shared" si="1"/>
        <v>149030000</v>
      </c>
      <c r="R9" s="111">
        <f t="shared" si="1"/>
        <v>86775000</v>
      </c>
      <c r="S9" s="111">
        <f t="shared" si="1"/>
        <v>129540000</v>
      </c>
      <c r="T9" s="111">
        <f t="shared" si="1"/>
        <v>49450000</v>
      </c>
      <c r="U9" s="111">
        <f t="shared" si="1"/>
        <v>145670000</v>
      </c>
      <c r="V9" s="111">
        <f t="shared" si="1"/>
        <v>6570000</v>
      </c>
      <c r="W9" s="111">
        <f>SUM(W7:W8)</f>
        <v>74995000</v>
      </c>
      <c r="X9" s="111">
        <f>SUM(X7:X8)</f>
        <v>344020000</v>
      </c>
      <c r="Y9" s="111">
        <f>SUM(Y7:Y8)</f>
        <v>282820000</v>
      </c>
      <c r="Z9" s="112"/>
      <c r="AA9" s="111">
        <f t="shared" si="0"/>
        <v>5406820000</v>
      </c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</row>
    <row r="10" spans="1:58" ht="12.75" customHeight="1" x14ac:dyDescent="0.2">
      <c r="A10" s="33"/>
      <c r="B10" s="113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5"/>
      <c r="AA10" s="136"/>
    </row>
    <row r="11" spans="1:58" s="43" customFormat="1" ht="15" x14ac:dyDescent="0.25">
      <c r="A11" s="98" t="s">
        <v>7</v>
      </c>
      <c r="B11" s="42" t="s">
        <v>8</v>
      </c>
      <c r="C11" s="42" t="s">
        <v>8</v>
      </c>
      <c r="D11" s="20" t="s">
        <v>8</v>
      </c>
      <c r="E11" s="20" t="s">
        <v>8</v>
      </c>
      <c r="F11" s="20" t="s">
        <v>8</v>
      </c>
      <c r="G11" s="20" t="s">
        <v>8</v>
      </c>
      <c r="H11" s="20" t="s">
        <v>8</v>
      </c>
      <c r="I11" s="20" t="s">
        <v>8</v>
      </c>
      <c r="J11" s="20" t="s">
        <v>8</v>
      </c>
      <c r="K11" s="20" t="s">
        <v>8</v>
      </c>
      <c r="L11" s="20" t="s">
        <v>8</v>
      </c>
      <c r="M11" s="20" t="s">
        <v>84</v>
      </c>
      <c r="N11" s="20" t="s">
        <v>8</v>
      </c>
      <c r="O11" s="20" t="s">
        <v>8</v>
      </c>
      <c r="P11" s="20" t="s">
        <v>233</v>
      </c>
      <c r="Q11" s="20" t="s">
        <v>8</v>
      </c>
      <c r="R11" s="20" t="s">
        <v>8</v>
      </c>
      <c r="S11" s="20" t="s">
        <v>8</v>
      </c>
      <c r="T11" s="20" t="s">
        <v>8</v>
      </c>
      <c r="U11" s="20" t="s">
        <v>8</v>
      </c>
      <c r="V11" s="20" t="s">
        <v>8</v>
      </c>
      <c r="W11" s="20" t="s">
        <v>8</v>
      </c>
      <c r="X11" s="20" t="s">
        <v>8</v>
      </c>
      <c r="Y11" s="20" t="s">
        <v>8</v>
      </c>
      <c r="Z11" s="5"/>
      <c r="AA11" s="14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</row>
    <row r="12" spans="1:58" s="47" customFormat="1" ht="15" x14ac:dyDescent="0.25">
      <c r="A12" s="99" t="s">
        <v>47</v>
      </c>
      <c r="B12" s="44">
        <v>40444</v>
      </c>
      <c r="C12" s="44">
        <v>40450</v>
      </c>
      <c r="D12" s="45">
        <v>40473</v>
      </c>
      <c r="E12" s="45">
        <v>40471</v>
      </c>
      <c r="F12" s="45">
        <v>40484</v>
      </c>
      <c r="G12" s="45">
        <v>40589</v>
      </c>
      <c r="H12" s="45">
        <v>40500</v>
      </c>
      <c r="I12" s="45">
        <v>40500</v>
      </c>
      <c r="J12" s="45">
        <v>40528</v>
      </c>
      <c r="K12" s="45">
        <v>40527</v>
      </c>
      <c r="L12" s="45">
        <v>40570</v>
      </c>
      <c r="M12" s="45">
        <v>40612</v>
      </c>
      <c r="N12" s="45">
        <v>40598</v>
      </c>
      <c r="O12" s="45">
        <v>40611</v>
      </c>
      <c r="P12" s="45">
        <v>40623</v>
      </c>
      <c r="Q12" s="45">
        <v>40584</v>
      </c>
      <c r="R12" s="45">
        <v>40715</v>
      </c>
      <c r="S12" s="45">
        <v>40708</v>
      </c>
      <c r="T12" s="45">
        <v>40681</v>
      </c>
      <c r="U12" s="45">
        <v>40745</v>
      </c>
      <c r="V12" s="45">
        <v>40745</v>
      </c>
      <c r="W12" s="45">
        <v>40779</v>
      </c>
      <c r="X12" s="45">
        <v>40752</v>
      </c>
      <c r="Y12" s="45">
        <v>40778</v>
      </c>
      <c r="Z12" s="46"/>
      <c r="AA12" s="143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</row>
    <row r="13" spans="1:58" s="26" customFormat="1" ht="12.75" customHeight="1" thickBot="1" x14ac:dyDescent="0.25">
      <c r="A13" s="48"/>
      <c r="B13" s="49"/>
      <c r="C13" s="49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1"/>
      <c r="AA13" s="175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</row>
    <row r="14" spans="1:58" ht="15" x14ac:dyDescent="0.25">
      <c r="A14" s="95" t="s">
        <v>9</v>
      </c>
      <c r="B14" s="105"/>
      <c r="C14" s="105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3"/>
      <c r="AA14" s="105"/>
    </row>
    <row r="15" spans="1:58" x14ac:dyDescent="0.2">
      <c r="A15" s="3" t="s">
        <v>10</v>
      </c>
      <c r="B15" s="53">
        <v>207228</v>
      </c>
      <c r="C15" s="53">
        <v>172326</v>
      </c>
      <c r="D15" s="109">
        <v>143000</v>
      </c>
      <c r="E15" s="109">
        <v>140000</v>
      </c>
      <c r="F15" s="109">
        <v>21670</v>
      </c>
      <c r="G15" s="109">
        <v>109954</v>
      </c>
      <c r="H15" s="109">
        <v>18976</v>
      </c>
      <c r="I15" s="109">
        <v>80000</v>
      </c>
      <c r="J15" s="109">
        <v>148686</v>
      </c>
      <c r="K15" s="109">
        <v>214537</v>
      </c>
      <c r="L15" s="109">
        <v>49000</v>
      </c>
      <c r="M15" s="109">
        <v>76424</v>
      </c>
      <c r="N15" s="109">
        <v>67000</v>
      </c>
      <c r="O15" s="109">
        <v>55000</v>
      </c>
      <c r="P15" s="109"/>
      <c r="Q15" s="109">
        <v>200000</v>
      </c>
      <c r="R15" s="109">
        <v>62798</v>
      </c>
      <c r="S15" s="109">
        <v>50000</v>
      </c>
      <c r="T15" s="109">
        <v>210000</v>
      </c>
      <c r="U15" s="109">
        <v>134966</v>
      </c>
      <c r="V15" s="109">
        <v>11201</v>
      </c>
      <c r="W15" s="109">
        <v>67500</v>
      </c>
      <c r="X15" s="109">
        <v>165000</v>
      </c>
      <c r="Y15" s="109">
        <v>57711</v>
      </c>
      <c r="Z15" s="54"/>
      <c r="AA15" s="53">
        <f t="shared" si="0"/>
        <v>2462977</v>
      </c>
    </row>
    <row r="16" spans="1:58" x14ac:dyDescent="0.2">
      <c r="A16" s="3" t="s">
        <v>31</v>
      </c>
      <c r="B16" s="53"/>
      <c r="C16" s="53"/>
      <c r="D16" s="109"/>
      <c r="E16" s="109"/>
      <c r="F16" s="109"/>
      <c r="G16" s="109"/>
      <c r="H16" s="109">
        <v>7533</v>
      </c>
      <c r="I16" s="109">
        <v>13520</v>
      </c>
      <c r="J16" s="109">
        <v>21510</v>
      </c>
      <c r="K16" s="109">
        <v>31037</v>
      </c>
      <c r="L16" s="109"/>
      <c r="M16" s="109"/>
      <c r="N16" s="109"/>
      <c r="O16" s="109">
        <v>16908</v>
      </c>
      <c r="P16" s="109"/>
      <c r="Q16" s="109"/>
      <c r="R16" s="109"/>
      <c r="S16" s="109"/>
      <c r="T16" s="109"/>
      <c r="U16" s="109"/>
      <c r="V16" s="109"/>
      <c r="W16" s="109">
        <v>16907</v>
      </c>
      <c r="X16" s="109"/>
      <c r="Y16" s="109"/>
      <c r="Z16" s="54"/>
      <c r="AA16" s="53">
        <f t="shared" si="0"/>
        <v>107415</v>
      </c>
    </row>
    <row r="17" spans="1:27" x14ac:dyDescent="0.2">
      <c r="A17" s="3" t="s">
        <v>11</v>
      </c>
      <c r="B17" s="53"/>
      <c r="C17" s="53">
        <v>62480</v>
      </c>
      <c r="D17" s="109"/>
      <c r="E17" s="109">
        <v>50000</v>
      </c>
      <c r="F17" s="109">
        <v>42163</v>
      </c>
      <c r="G17" s="109">
        <v>16775</v>
      </c>
      <c r="H17" s="109">
        <v>11000</v>
      </c>
      <c r="I17" s="109">
        <v>18498</v>
      </c>
      <c r="J17" s="109">
        <v>149148</v>
      </c>
      <c r="K17" s="109">
        <v>215204</v>
      </c>
      <c r="L17" s="109">
        <v>65000</v>
      </c>
      <c r="M17" s="109">
        <v>64050</v>
      </c>
      <c r="N17" s="109">
        <v>82500</v>
      </c>
      <c r="O17" s="109">
        <v>27249</v>
      </c>
      <c r="P17" s="109"/>
      <c r="Q17" s="109">
        <v>150000</v>
      </c>
      <c r="R17" s="109">
        <v>44388</v>
      </c>
      <c r="S17" s="109">
        <v>60577.86</v>
      </c>
      <c r="T17" s="109">
        <v>74450</v>
      </c>
      <c r="U17" s="109">
        <v>76213</v>
      </c>
      <c r="V17" s="109">
        <v>10000</v>
      </c>
      <c r="W17" s="109">
        <v>27248</v>
      </c>
      <c r="X17" s="109">
        <v>91000</v>
      </c>
      <c r="Y17" s="109">
        <v>65000</v>
      </c>
      <c r="Z17" s="54"/>
      <c r="AA17" s="53">
        <f t="shared" si="0"/>
        <v>1402943.86</v>
      </c>
    </row>
    <row r="18" spans="1:27" x14ac:dyDescent="0.2">
      <c r="A18" s="3" t="s">
        <v>72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109"/>
      <c r="S18" s="109"/>
      <c r="T18" s="109"/>
      <c r="U18" s="109"/>
      <c r="V18" s="109"/>
      <c r="W18" s="109"/>
      <c r="X18" s="109"/>
      <c r="Y18" s="109"/>
      <c r="Z18" s="54"/>
      <c r="AA18" s="53">
        <f t="shared" si="0"/>
        <v>0</v>
      </c>
    </row>
    <row r="19" spans="1:27" x14ac:dyDescent="0.2">
      <c r="A19" s="3" t="s">
        <v>12</v>
      </c>
      <c r="B19" s="53">
        <v>6000</v>
      </c>
      <c r="C19" s="53">
        <v>3434</v>
      </c>
      <c r="D19" s="109">
        <v>3293</v>
      </c>
      <c r="E19" s="109">
        <v>6520</v>
      </c>
      <c r="F19" s="109">
        <v>3347</v>
      </c>
      <c r="G19" s="109">
        <v>7776</v>
      </c>
      <c r="H19" s="109">
        <v>896</v>
      </c>
      <c r="I19" s="109">
        <v>984</v>
      </c>
      <c r="J19" s="109">
        <v>1867</v>
      </c>
      <c r="K19" s="109">
        <v>2693</v>
      </c>
      <c r="L19" s="109">
        <v>2119</v>
      </c>
      <c r="M19" s="109">
        <v>3680</v>
      </c>
      <c r="N19" s="109">
        <v>1000</v>
      </c>
      <c r="O19" s="109">
        <v>1003</v>
      </c>
      <c r="P19" s="109"/>
      <c r="Q19" s="109">
        <v>2630</v>
      </c>
      <c r="R19" s="109">
        <v>3760</v>
      </c>
      <c r="S19" s="109">
        <v>1198.22</v>
      </c>
      <c r="T19" s="109">
        <v>2500</v>
      </c>
      <c r="U19" s="109">
        <v>2450</v>
      </c>
      <c r="V19" s="109">
        <v>2096</v>
      </c>
      <c r="W19" s="109">
        <v>914</v>
      </c>
      <c r="X19" s="109">
        <v>1510</v>
      </c>
      <c r="Y19" s="109">
        <v>1311</v>
      </c>
      <c r="Z19" s="54"/>
      <c r="AA19" s="53">
        <f t="shared" si="0"/>
        <v>62981.22</v>
      </c>
    </row>
    <row r="20" spans="1:27" x14ac:dyDescent="0.2">
      <c r="A20" s="3" t="s">
        <v>13</v>
      </c>
      <c r="B20" s="53">
        <v>2500</v>
      </c>
      <c r="C20" s="53"/>
      <c r="D20" s="109"/>
      <c r="E20" s="109"/>
      <c r="F20" s="109">
        <v>63</v>
      </c>
      <c r="G20" s="109">
        <v>1000</v>
      </c>
      <c r="H20" s="109"/>
      <c r="I20" s="109"/>
      <c r="J20" s="109"/>
      <c r="K20" s="109"/>
      <c r="L20" s="109">
        <v>500</v>
      </c>
      <c r="M20" s="109">
        <f>3500+600</f>
        <v>4100</v>
      </c>
      <c r="N20" s="109"/>
      <c r="O20" s="109"/>
      <c r="P20" s="109"/>
      <c r="Q20" s="109"/>
      <c r="R20" s="109">
        <v>4500</v>
      </c>
      <c r="S20" s="109">
        <v>166.64</v>
      </c>
      <c r="T20" s="109"/>
      <c r="U20" s="109">
        <v>1100</v>
      </c>
      <c r="V20" s="109">
        <v>550</v>
      </c>
      <c r="W20" s="109"/>
      <c r="X20" s="109"/>
      <c r="Y20" s="109">
        <v>500</v>
      </c>
      <c r="Z20" s="54"/>
      <c r="AA20" s="53">
        <f t="shared" si="0"/>
        <v>14979.64</v>
      </c>
    </row>
    <row r="21" spans="1:27" x14ac:dyDescent="0.2">
      <c r="A21" s="3" t="s">
        <v>14</v>
      </c>
      <c r="B21" s="53">
        <v>35000</v>
      </c>
      <c r="C21" s="53">
        <v>97781</v>
      </c>
      <c r="D21" s="109"/>
      <c r="E21" s="109"/>
      <c r="F21" s="109"/>
      <c r="G21" s="109">
        <v>75000</v>
      </c>
      <c r="H21" s="109"/>
      <c r="I21" s="109"/>
      <c r="J21" s="109">
        <v>40930</v>
      </c>
      <c r="K21" s="109">
        <v>59057</v>
      </c>
      <c r="L21" s="109"/>
      <c r="M21" s="109">
        <v>30000</v>
      </c>
      <c r="N21" s="109">
        <v>45000</v>
      </c>
      <c r="O21" s="109"/>
      <c r="P21" s="109"/>
      <c r="Q21" s="109">
        <v>60000</v>
      </c>
      <c r="R21" s="109"/>
      <c r="S21" s="109"/>
      <c r="T21" s="109">
        <v>33615</v>
      </c>
      <c r="U21" s="109"/>
      <c r="V21" s="109"/>
      <c r="W21" s="109"/>
      <c r="X21" s="109"/>
      <c r="Y21" s="109"/>
      <c r="Z21" s="54"/>
      <c r="AA21" s="53">
        <f t="shared" si="0"/>
        <v>476383</v>
      </c>
    </row>
    <row r="22" spans="1:27" x14ac:dyDescent="0.2">
      <c r="A22" s="3" t="s">
        <v>15</v>
      </c>
      <c r="B22" s="53"/>
      <c r="C22" s="53"/>
      <c r="D22" s="109"/>
      <c r="E22" s="109"/>
      <c r="F22" s="109"/>
      <c r="G22" s="109"/>
      <c r="H22" s="109">
        <v>4000</v>
      </c>
      <c r="I22" s="109">
        <v>3000</v>
      </c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54"/>
      <c r="AA22" s="53">
        <f t="shared" si="0"/>
        <v>7000</v>
      </c>
    </row>
    <row r="23" spans="1:27" x14ac:dyDescent="0.2">
      <c r="A23" s="3" t="s">
        <v>16</v>
      </c>
      <c r="B23" s="53"/>
      <c r="C23" s="53"/>
      <c r="D23" s="109"/>
      <c r="E23" s="109"/>
      <c r="F23" s="109"/>
      <c r="G23" s="109"/>
      <c r="H23" s="109">
        <v>15000</v>
      </c>
      <c r="I23" s="109">
        <v>15000</v>
      </c>
      <c r="J23" s="109"/>
      <c r="K23" s="109"/>
      <c r="L23" s="109"/>
      <c r="M23" s="109"/>
      <c r="N23" s="109"/>
      <c r="O23" s="109">
        <v>17500</v>
      </c>
      <c r="P23" s="109"/>
      <c r="Q23" s="109"/>
      <c r="R23" s="109"/>
      <c r="S23" s="109"/>
      <c r="T23" s="109"/>
      <c r="U23" s="109"/>
      <c r="V23" s="109"/>
      <c r="W23" s="109">
        <v>25000</v>
      </c>
      <c r="X23" s="109"/>
      <c r="Y23" s="109"/>
      <c r="Z23" s="54"/>
      <c r="AA23" s="53">
        <f t="shared" si="0"/>
        <v>72500</v>
      </c>
    </row>
    <row r="24" spans="1:27" x14ac:dyDescent="0.2">
      <c r="A24" s="3" t="s">
        <v>26</v>
      </c>
      <c r="B24" s="53"/>
      <c r="C24" s="53"/>
      <c r="D24" s="109">
        <v>11500</v>
      </c>
      <c r="E24" s="109">
        <v>12500</v>
      </c>
      <c r="F24" s="109"/>
      <c r="G24" s="109"/>
      <c r="H24" s="109"/>
      <c r="I24" s="109"/>
      <c r="J24" s="109"/>
      <c r="K24" s="109"/>
      <c r="L24" s="109"/>
      <c r="M24" s="109"/>
      <c r="N24" s="109">
        <v>1500</v>
      </c>
      <c r="O24" s="109"/>
      <c r="P24" s="109">
        <v>4000</v>
      </c>
      <c r="Q24" s="109">
        <v>10000</v>
      </c>
      <c r="R24" s="109"/>
      <c r="S24" s="109"/>
      <c r="T24" s="109">
        <v>36000</v>
      </c>
      <c r="U24" s="109"/>
      <c r="V24" s="109"/>
      <c r="W24" s="109"/>
      <c r="X24" s="109"/>
      <c r="Y24" s="109"/>
      <c r="Z24" s="54"/>
      <c r="AA24" s="53">
        <f t="shared" si="0"/>
        <v>75500</v>
      </c>
    </row>
    <row r="25" spans="1:27" x14ac:dyDescent="0.2">
      <c r="A25" s="3" t="s">
        <v>27</v>
      </c>
      <c r="B25" s="53"/>
      <c r="C25" s="53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>
        <v>2500</v>
      </c>
      <c r="O25" s="109"/>
      <c r="P25" s="109"/>
      <c r="Q25" s="109">
        <v>7000</v>
      </c>
      <c r="R25" s="109"/>
      <c r="S25" s="109"/>
      <c r="T25" s="109">
        <v>7500</v>
      </c>
      <c r="U25" s="109"/>
      <c r="V25" s="109"/>
      <c r="W25" s="109"/>
      <c r="X25" s="109"/>
      <c r="Y25" s="109"/>
      <c r="Z25" s="54"/>
      <c r="AA25" s="53">
        <f t="shared" si="0"/>
        <v>17000</v>
      </c>
    </row>
    <row r="26" spans="1:27" x14ac:dyDescent="0.2">
      <c r="A26" s="3" t="s">
        <v>17</v>
      </c>
      <c r="B26" s="53"/>
      <c r="C26" s="53">
        <v>600</v>
      </c>
      <c r="D26" s="109"/>
      <c r="E26" s="109"/>
      <c r="F26" s="109"/>
      <c r="G26" s="109"/>
      <c r="H26" s="109"/>
      <c r="I26" s="109">
        <v>800</v>
      </c>
      <c r="J26" s="109"/>
      <c r="K26" s="109"/>
      <c r="L26" s="109"/>
      <c r="M26" s="109">
        <v>250</v>
      </c>
      <c r="N26" s="109"/>
      <c r="O26" s="109"/>
      <c r="P26" s="109"/>
      <c r="Q26" s="109"/>
      <c r="R26" s="109"/>
      <c r="S26" s="109"/>
      <c r="T26" s="109"/>
      <c r="U26" s="109">
        <v>750</v>
      </c>
      <c r="V26" s="109">
        <v>750</v>
      </c>
      <c r="W26" s="109"/>
      <c r="X26" s="109">
        <v>750</v>
      </c>
      <c r="Y26" s="109">
        <v>500</v>
      </c>
      <c r="Z26" s="54"/>
      <c r="AA26" s="53">
        <f t="shared" si="0"/>
        <v>4400</v>
      </c>
    </row>
    <row r="27" spans="1:27" x14ac:dyDescent="0.2">
      <c r="A27" s="3" t="s">
        <v>18</v>
      </c>
      <c r="B27" s="53"/>
      <c r="C27" s="53"/>
      <c r="D27" s="109"/>
      <c r="E27" s="109"/>
      <c r="F27" s="109"/>
      <c r="G27" s="109"/>
      <c r="H27" s="109"/>
      <c r="I27" s="109">
        <v>2500</v>
      </c>
      <c r="J27" s="109"/>
      <c r="K27" s="109"/>
      <c r="L27" s="109"/>
      <c r="M27" s="109"/>
      <c r="N27" s="109"/>
      <c r="O27" s="109"/>
      <c r="P27" s="109"/>
      <c r="Q27" s="109">
        <v>8500</v>
      </c>
      <c r="R27" s="109"/>
      <c r="S27" s="109"/>
      <c r="T27" s="109"/>
      <c r="U27" s="109"/>
      <c r="V27" s="109"/>
      <c r="W27" s="109"/>
      <c r="X27" s="109">
        <v>5000</v>
      </c>
      <c r="Y27" s="109"/>
      <c r="Z27" s="54"/>
      <c r="AA27" s="53">
        <f t="shared" si="0"/>
        <v>16000</v>
      </c>
    </row>
    <row r="28" spans="1:27" x14ac:dyDescent="0.2">
      <c r="A28" s="3" t="s">
        <v>19</v>
      </c>
      <c r="B28" s="53">
        <v>19000</v>
      </c>
      <c r="C28" s="53">
        <v>19000</v>
      </c>
      <c r="D28" s="109">
        <v>7645</v>
      </c>
      <c r="E28" s="109">
        <v>7895</v>
      </c>
      <c r="F28" s="109">
        <v>9500</v>
      </c>
      <c r="G28" s="109"/>
      <c r="H28" s="109">
        <v>9500</v>
      </c>
      <c r="I28" s="109">
        <v>9500</v>
      </c>
      <c r="J28" s="109">
        <v>11667</v>
      </c>
      <c r="K28" s="109">
        <v>16833</v>
      </c>
      <c r="L28" s="109">
        <v>9500</v>
      </c>
      <c r="M28" s="109">
        <v>19000</v>
      </c>
      <c r="N28" s="109"/>
      <c r="O28" s="109">
        <v>9500</v>
      </c>
      <c r="P28" s="109">
        <v>9500</v>
      </c>
      <c r="Q28" s="109">
        <v>9500</v>
      </c>
      <c r="R28" s="109">
        <v>9500</v>
      </c>
      <c r="S28" s="109">
        <v>9500</v>
      </c>
      <c r="T28" s="109">
        <v>21240</v>
      </c>
      <c r="U28" s="109">
        <v>19000</v>
      </c>
      <c r="V28" s="109">
        <v>7430</v>
      </c>
      <c r="W28" s="109">
        <v>9500</v>
      </c>
      <c r="X28" s="109">
        <v>9500</v>
      </c>
      <c r="Y28" s="109">
        <v>9500</v>
      </c>
      <c r="Z28" s="54"/>
      <c r="AA28" s="53">
        <f t="shared" si="0"/>
        <v>262710</v>
      </c>
    </row>
    <row r="29" spans="1:27" x14ac:dyDescent="0.2">
      <c r="A29" s="3" t="s">
        <v>28</v>
      </c>
      <c r="B29" s="53"/>
      <c r="C29" s="53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>
        <v>37499</v>
      </c>
      <c r="R29" s="109"/>
      <c r="S29" s="109"/>
      <c r="T29" s="109">
        <v>101435</v>
      </c>
      <c r="U29" s="109">
        <v>1000</v>
      </c>
      <c r="V29" s="109"/>
      <c r="W29" s="109"/>
      <c r="X29" s="109"/>
      <c r="Y29" s="109"/>
      <c r="Z29" s="54"/>
      <c r="AA29" s="53">
        <f t="shared" si="0"/>
        <v>139934</v>
      </c>
    </row>
    <row r="30" spans="1:27" x14ac:dyDescent="0.2">
      <c r="A30" s="3" t="s">
        <v>29</v>
      </c>
      <c r="B30" s="53"/>
      <c r="C30" s="53"/>
      <c r="D30" s="109">
        <v>5000</v>
      </c>
      <c r="E30" s="109">
        <v>8500</v>
      </c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>
        <v>6000</v>
      </c>
      <c r="Q30" s="109">
        <v>50000</v>
      </c>
      <c r="R30" s="109">
        <v>500</v>
      </c>
      <c r="S30" s="109"/>
      <c r="T30" s="109">
        <v>239275</v>
      </c>
      <c r="U30" s="109"/>
      <c r="V30" s="109"/>
      <c r="W30" s="109"/>
      <c r="X30" s="109"/>
      <c r="Y30" s="109"/>
      <c r="Z30" s="54"/>
      <c r="AA30" s="53">
        <f t="shared" si="0"/>
        <v>309275</v>
      </c>
    </row>
    <row r="31" spans="1:27" x14ac:dyDescent="0.2">
      <c r="A31" s="3" t="s">
        <v>48</v>
      </c>
      <c r="B31" s="53"/>
      <c r="C31" s="53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54"/>
      <c r="AA31" s="53">
        <f t="shared" si="0"/>
        <v>0</v>
      </c>
    </row>
    <row r="32" spans="1:27" x14ac:dyDescent="0.2">
      <c r="A32" s="3" t="s">
        <v>30</v>
      </c>
      <c r="B32" s="53"/>
      <c r="C32" s="53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>
        <v>15089</v>
      </c>
      <c r="R32" s="109"/>
      <c r="S32" s="109"/>
      <c r="T32" s="109"/>
      <c r="U32" s="109"/>
      <c r="V32" s="109"/>
      <c r="W32" s="109"/>
      <c r="X32" s="109"/>
      <c r="Y32" s="109"/>
      <c r="Z32" s="54"/>
      <c r="AA32" s="53">
        <f t="shared" si="0"/>
        <v>15089</v>
      </c>
    </row>
    <row r="33" spans="1:58" x14ac:dyDescent="0.2">
      <c r="A33" s="3" t="s">
        <v>50</v>
      </c>
      <c r="B33" s="53"/>
      <c r="C33" s="53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54"/>
      <c r="AA33" s="53">
        <f t="shared" si="0"/>
        <v>0</v>
      </c>
    </row>
    <row r="34" spans="1:58" x14ac:dyDescent="0.2">
      <c r="A34" s="3" t="s">
        <v>49</v>
      </c>
      <c r="B34" s="53"/>
      <c r="C34" s="53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54"/>
      <c r="AA34" s="53">
        <f t="shared" si="0"/>
        <v>0</v>
      </c>
    </row>
    <row r="35" spans="1:58" ht="13.5" thickBot="1" x14ac:dyDescent="0.25">
      <c r="A35" s="55" t="s">
        <v>20</v>
      </c>
      <c r="B35" s="56">
        <f>2374+4000</f>
        <v>6374</v>
      </c>
      <c r="C35" s="56"/>
      <c r="D35" s="57">
        <f>37717+27000</f>
        <v>64717</v>
      </c>
      <c r="E35" s="57">
        <f>15185+34500+2750+32000</f>
        <v>84435</v>
      </c>
      <c r="F35" s="57">
        <v>4209</v>
      </c>
      <c r="G35" s="57"/>
      <c r="H35" s="57"/>
      <c r="I35" s="57"/>
      <c r="J35" s="57">
        <v>5085</v>
      </c>
      <c r="K35" s="57">
        <v>7337</v>
      </c>
      <c r="L35" s="57">
        <v>835</v>
      </c>
      <c r="M35" s="57">
        <v>967</v>
      </c>
      <c r="N35" s="57">
        <v>9500</v>
      </c>
      <c r="O35" s="57"/>
      <c r="P35" s="57">
        <v>26365</v>
      </c>
      <c r="Q35" s="57"/>
      <c r="R35" s="57">
        <v>5000</v>
      </c>
      <c r="S35" s="57">
        <v>2591.85</v>
      </c>
      <c r="T35" s="57">
        <v>66457</v>
      </c>
      <c r="U35" s="57"/>
      <c r="V35" s="57"/>
      <c r="W35" s="57"/>
      <c r="X35" s="57">
        <v>3153</v>
      </c>
      <c r="Y35" s="57">
        <v>4447</v>
      </c>
      <c r="Z35" s="58"/>
      <c r="AA35" s="56">
        <f>SUM(B35:Y35)</f>
        <v>291472.84999999998</v>
      </c>
    </row>
    <row r="36" spans="1:58" ht="15" x14ac:dyDescent="0.25">
      <c r="A36" s="95" t="s">
        <v>54</v>
      </c>
      <c r="B36" s="106" t="s">
        <v>53</v>
      </c>
      <c r="C36" s="106" t="s">
        <v>53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 t="s">
        <v>53</v>
      </c>
      <c r="V36" s="106"/>
      <c r="W36" s="106"/>
      <c r="X36" s="106"/>
      <c r="Y36" s="106"/>
      <c r="Z36" s="60"/>
      <c r="AA36" s="106"/>
    </row>
    <row r="37" spans="1:58" x14ac:dyDescent="0.2">
      <c r="A37" s="3" t="s">
        <v>55</v>
      </c>
      <c r="B37" s="53">
        <v>75000</v>
      </c>
      <c r="C37" s="53">
        <v>88200</v>
      </c>
      <c r="D37" s="53"/>
      <c r="E37" s="53"/>
      <c r="F37" s="53">
        <v>10700</v>
      </c>
      <c r="G37" s="53"/>
      <c r="H37" s="53">
        <v>10500</v>
      </c>
      <c r="I37" s="53">
        <v>10500</v>
      </c>
      <c r="J37" s="53">
        <v>52810</v>
      </c>
      <c r="K37" s="53">
        <v>76200</v>
      </c>
      <c r="L37" s="53">
        <v>30000</v>
      </c>
      <c r="M37" s="53">
        <v>58055</v>
      </c>
      <c r="N37" s="53">
        <v>28000</v>
      </c>
      <c r="O37" s="53">
        <v>24000</v>
      </c>
      <c r="P37" s="53"/>
      <c r="Q37" s="53">
        <v>75000</v>
      </c>
      <c r="R37" s="53">
        <v>44625</v>
      </c>
      <c r="S37" s="53">
        <v>32500</v>
      </c>
      <c r="T37" s="53"/>
      <c r="U37" s="53">
        <v>32500</v>
      </c>
      <c r="V37" s="53">
        <v>7000</v>
      </c>
      <c r="W37" s="53">
        <v>26000</v>
      </c>
      <c r="X37" s="53">
        <v>37045</v>
      </c>
      <c r="Y37" s="53">
        <v>30455</v>
      </c>
      <c r="Z37" s="61"/>
      <c r="AA37" s="53">
        <f t="shared" si="0"/>
        <v>749090</v>
      </c>
    </row>
    <row r="38" spans="1:58" x14ac:dyDescent="0.2">
      <c r="A38" s="3" t="s">
        <v>56</v>
      </c>
      <c r="B38" s="53">
        <v>73920</v>
      </c>
      <c r="C38" s="53">
        <v>59500</v>
      </c>
      <c r="D38" s="53">
        <v>18750</v>
      </c>
      <c r="E38" s="53">
        <v>22500</v>
      </c>
      <c r="F38" s="53">
        <v>14000</v>
      </c>
      <c r="G38" s="53">
        <v>10000</v>
      </c>
      <c r="H38" s="53"/>
      <c r="I38" s="53"/>
      <c r="J38" s="53">
        <v>59356</v>
      </c>
      <c r="K38" s="53">
        <v>85644</v>
      </c>
      <c r="L38" s="53"/>
      <c r="M38" s="53">
        <v>38500</v>
      </c>
      <c r="N38" s="53"/>
      <c r="O38" s="53"/>
      <c r="P38" s="53"/>
      <c r="Q38" s="53">
        <v>45000</v>
      </c>
      <c r="R38" s="53"/>
      <c r="S38" s="53">
        <v>33600</v>
      </c>
      <c r="T38" s="53">
        <v>95000</v>
      </c>
      <c r="U38" s="53">
        <v>33600</v>
      </c>
      <c r="V38" s="53">
        <v>4500</v>
      </c>
      <c r="W38" s="53"/>
      <c r="X38" s="53">
        <v>32490</v>
      </c>
      <c r="Y38" s="53">
        <v>26710</v>
      </c>
      <c r="Z38" s="61"/>
      <c r="AA38" s="53">
        <f t="shared" si="0"/>
        <v>653070</v>
      </c>
    </row>
    <row r="39" spans="1:58" ht="13.5" thickBot="1" x14ac:dyDescent="0.25">
      <c r="A39" s="4" t="s">
        <v>57</v>
      </c>
      <c r="B39" s="56">
        <v>20000</v>
      </c>
      <c r="C39" s="56">
        <v>61000</v>
      </c>
      <c r="D39" s="56"/>
      <c r="E39" s="56"/>
      <c r="F39" s="56">
        <v>10000</v>
      </c>
      <c r="G39" s="56">
        <v>10000</v>
      </c>
      <c r="H39" s="56">
        <v>1250</v>
      </c>
      <c r="I39" s="56">
        <v>1250</v>
      </c>
      <c r="J39" s="56">
        <v>51169</v>
      </c>
      <c r="K39" s="56">
        <v>73831</v>
      </c>
      <c r="L39" s="56">
        <v>20000</v>
      </c>
      <c r="M39" s="56">
        <v>15000</v>
      </c>
      <c r="N39" s="56"/>
      <c r="O39" s="56"/>
      <c r="P39" s="56"/>
      <c r="Q39" s="56"/>
      <c r="R39" s="56">
        <v>45000</v>
      </c>
      <c r="S39" s="56">
        <v>30000</v>
      </c>
      <c r="T39" s="56"/>
      <c r="U39" s="56"/>
      <c r="V39" s="56"/>
      <c r="W39" s="56"/>
      <c r="X39" s="56">
        <v>32929</v>
      </c>
      <c r="Y39" s="56">
        <v>27071</v>
      </c>
      <c r="Z39" s="6"/>
      <c r="AA39" s="56">
        <f t="shared" si="0"/>
        <v>398500</v>
      </c>
    </row>
    <row r="40" spans="1:58" s="43" customFormat="1" ht="12.75" customHeight="1" thickBot="1" x14ac:dyDescent="0.25">
      <c r="A40" s="62" t="s">
        <v>35</v>
      </c>
      <c r="B40" s="63">
        <f t="shared" ref="B40:Y40" si="2">SUM(B15:B39)</f>
        <v>445022</v>
      </c>
      <c r="C40" s="63">
        <f t="shared" si="2"/>
        <v>564321</v>
      </c>
      <c r="D40" s="63">
        <f t="shared" si="2"/>
        <v>253905</v>
      </c>
      <c r="E40" s="63">
        <f t="shared" si="2"/>
        <v>332350</v>
      </c>
      <c r="F40" s="63">
        <f t="shared" si="2"/>
        <v>115652</v>
      </c>
      <c r="G40" s="63">
        <f>SUM(G15:G39)</f>
        <v>230505</v>
      </c>
      <c r="H40" s="63">
        <f t="shared" si="2"/>
        <v>78655</v>
      </c>
      <c r="I40" s="63">
        <f t="shared" si="2"/>
        <v>155552</v>
      </c>
      <c r="J40" s="63">
        <f t="shared" si="2"/>
        <v>542228</v>
      </c>
      <c r="K40" s="63">
        <f t="shared" si="2"/>
        <v>782373</v>
      </c>
      <c r="L40" s="63">
        <f t="shared" si="2"/>
        <v>176954</v>
      </c>
      <c r="M40" s="63">
        <f t="shared" si="2"/>
        <v>310026</v>
      </c>
      <c r="N40" s="63">
        <f t="shared" si="2"/>
        <v>237000</v>
      </c>
      <c r="O40" s="63">
        <f t="shared" si="2"/>
        <v>151160</v>
      </c>
      <c r="P40" s="63">
        <f t="shared" si="2"/>
        <v>45865</v>
      </c>
      <c r="Q40" s="63">
        <f t="shared" si="2"/>
        <v>670218</v>
      </c>
      <c r="R40" s="63">
        <f t="shared" si="2"/>
        <v>220071</v>
      </c>
      <c r="S40" s="63">
        <f t="shared" si="2"/>
        <v>220134.57</v>
      </c>
      <c r="T40" s="63">
        <f t="shared" si="2"/>
        <v>887472</v>
      </c>
      <c r="U40" s="63">
        <f t="shared" si="2"/>
        <v>301579</v>
      </c>
      <c r="V40" s="63">
        <f t="shared" si="2"/>
        <v>43527</v>
      </c>
      <c r="W40" s="63">
        <f t="shared" si="2"/>
        <v>173069</v>
      </c>
      <c r="X40" s="63">
        <f>SUM(X15:X39)</f>
        <v>378377</v>
      </c>
      <c r="Y40" s="63">
        <f t="shared" si="2"/>
        <v>223205</v>
      </c>
      <c r="Z40" s="64"/>
      <c r="AA40" s="63">
        <f t="shared" si="0"/>
        <v>7539220.5700000003</v>
      </c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</row>
    <row r="41" spans="1:58" ht="15.75" thickBot="1" x14ac:dyDescent="0.3">
      <c r="A41" s="96" t="s">
        <v>33</v>
      </c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>
        <v>15000</v>
      </c>
      <c r="R41" s="116"/>
      <c r="S41" s="116"/>
      <c r="T41" s="116">
        <f>150000+60000+9078+15000+56248+204927</f>
        <v>495253</v>
      </c>
      <c r="U41" s="116"/>
      <c r="V41" s="116"/>
      <c r="W41" s="116"/>
      <c r="X41" s="116"/>
      <c r="Y41" s="116"/>
      <c r="Z41" s="117"/>
      <c r="AA41" s="116">
        <f t="shared" si="0"/>
        <v>510253</v>
      </c>
    </row>
    <row r="42" spans="1:58" s="47" customFormat="1" ht="13.5" thickBot="1" x14ac:dyDescent="0.25">
      <c r="A42" s="65" t="s">
        <v>34</v>
      </c>
      <c r="B42" s="56">
        <f t="shared" ref="B42:W42" si="3">SUM(B40:B41)</f>
        <v>445022</v>
      </c>
      <c r="C42" s="56">
        <f t="shared" si="3"/>
        <v>564321</v>
      </c>
      <c r="D42" s="56">
        <f t="shared" si="3"/>
        <v>253905</v>
      </c>
      <c r="E42" s="56">
        <f t="shared" si="3"/>
        <v>332350</v>
      </c>
      <c r="F42" s="56">
        <f t="shared" si="3"/>
        <v>115652</v>
      </c>
      <c r="G42" s="56">
        <f>SUM(G40:G41)</f>
        <v>230505</v>
      </c>
      <c r="H42" s="56">
        <f t="shared" si="3"/>
        <v>78655</v>
      </c>
      <c r="I42" s="56">
        <f t="shared" si="3"/>
        <v>155552</v>
      </c>
      <c r="J42" s="56">
        <f t="shared" si="3"/>
        <v>542228</v>
      </c>
      <c r="K42" s="56">
        <f t="shared" si="3"/>
        <v>782373</v>
      </c>
      <c r="L42" s="56">
        <f t="shared" si="3"/>
        <v>176954</v>
      </c>
      <c r="M42" s="56">
        <f t="shared" si="3"/>
        <v>310026</v>
      </c>
      <c r="N42" s="56">
        <f t="shared" si="3"/>
        <v>237000</v>
      </c>
      <c r="O42" s="56">
        <f t="shared" si="3"/>
        <v>151160</v>
      </c>
      <c r="P42" s="56">
        <f t="shared" si="3"/>
        <v>45865</v>
      </c>
      <c r="Q42" s="56">
        <f t="shared" si="3"/>
        <v>685218</v>
      </c>
      <c r="R42" s="56">
        <f t="shared" si="3"/>
        <v>220071</v>
      </c>
      <c r="S42" s="56">
        <f t="shared" si="3"/>
        <v>220134.57</v>
      </c>
      <c r="T42" s="56">
        <f t="shared" si="3"/>
        <v>1382725</v>
      </c>
      <c r="U42" s="56">
        <f t="shared" si="3"/>
        <v>301579</v>
      </c>
      <c r="V42" s="56">
        <f t="shared" si="3"/>
        <v>43527</v>
      </c>
      <c r="W42" s="56">
        <f t="shared" si="3"/>
        <v>173069</v>
      </c>
      <c r="X42" s="56">
        <f>SUM(X40:X41)</f>
        <v>378377</v>
      </c>
      <c r="Y42" s="56">
        <f>SUM(Y40:Y41)</f>
        <v>223205</v>
      </c>
      <c r="Z42" s="118"/>
      <c r="AA42" s="56">
        <f t="shared" si="0"/>
        <v>8049473.5700000003</v>
      </c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</row>
    <row r="43" spans="1:58" ht="13.5" thickBot="1" x14ac:dyDescent="0.25">
      <c r="A43" s="25"/>
      <c r="B43" s="31"/>
      <c r="C43" s="31"/>
      <c r="D43" s="3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7"/>
      <c r="AA43" s="31"/>
    </row>
    <row r="44" spans="1:58" x14ac:dyDescent="0.2">
      <c r="A44" s="12" t="s">
        <v>58</v>
      </c>
      <c r="B44" s="105"/>
      <c r="C44" s="105"/>
      <c r="D44" s="105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3"/>
      <c r="AA44" s="105"/>
    </row>
    <row r="45" spans="1:58" x14ac:dyDescent="0.2">
      <c r="A45" s="3" t="s">
        <v>59</v>
      </c>
      <c r="B45" s="31"/>
      <c r="C45" s="31"/>
      <c r="D45" s="119">
        <v>117417.60000000001</v>
      </c>
      <c r="E45" s="139">
        <v>108395</v>
      </c>
      <c r="F45" s="21">
        <v>17793</v>
      </c>
      <c r="G45" s="139"/>
      <c r="H45" s="139"/>
      <c r="I45" s="139"/>
      <c r="J45" s="139"/>
      <c r="K45" s="139"/>
      <c r="L45" s="139">
        <v>31500</v>
      </c>
      <c r="M45" s="139"/>
      <c r="N45" s="139">
        <v>91594</v>
      </c>
      <c r="O45" s="139"/>
      <c r="P45" s="139"/>
      <c r="Q45" s="139">
        <v>60000</v>
      </c>
      <c r="R45" s="139">
        <v>86775</v>
      </c>
      <c r="S45" s="139">
        <v>64770</v>
      </c>
      <c r="T45" s="139"/>
      <c r="U45" s="139"/>
      <c r="V45" s="139"/>
      <c r="W45" s="139"/>
      <c r="X45" s="139"/>
      <c r="Y45" s="139">
        <v>50000</v>
      </c>
      <c r="Z45" s="7"/>
      <c r="AA45" s="119">
        <f t="shared" si="0"/>
        <v>628244.6</v>
      </c>
    </row>
    <row r="46" spans="1:58" x14ac:dyDescent="0.2">
      <c r="A46" s="3" t="s">
        <v>60</v>
      </c>
      <c r="B46" s="31"/>
      <c r="C46" s="31"/>
      <c r="D46" s="31"/>
      <c r="E46" s="21"/>
      <c r="F46" s="21"/>
      <c r="G46" s="139"/>
      <c r="H46" s="21"/>
      <c r="I46" s="21"/>
      <c r="J46" s="21"/>
      <c r="K46" s="139"/>
      <c r="L46" s="139"/>
      <c r="M46" s="139"/>
      <c r="N46" s="139"/>
      <c r="O46" s="139"/>
      <c r="P46" s="139"/>
      <c r="Q46" s="139"/>
      <c r="R46" s="139"/>
      <c r="S46" s="139"/>
      <c r="T46" s="139">
        <v>74678</v>
      </c>
      <c r="U46" s="139"/>
      <c r="V46" s="139"/>
      <c r="W46" s="139"/>
      <c r="X46" s="139"/>
      <c r="Y46" s="139"/>
      <c r="Z46" s="7"/>
      <c r="AA46" s="119">
        <f t="shared" si="0"/>
        <v>74678</v>
      </c>
    </row>
    <row r="47" spans="1:58" x14ac:dyDescent="0.2">
      <c r="A47" s="3" t="s">
        <v>61</v>
      </c>
      <c r="B47" s="119">
        <v>3170038</v>
      </c>
      <c r="C47" s="119">
        <v>4634588</v>
      </c>
      <c r="D47" s="119">
        <v>60400</v>
      </c>
      <c r="E47" s="139">
        <v>57700</v>
      </c>
      <c r="F47" s="139">
        <v>134860</v>
      </c>
      <c r="G47" s="139">
        <v>447825</v>
      </c>
      <c r="H47" s="139">
        <v>16480</v>
      </c>
      <c r="I47" s="139">
        <v>49995</v>
      </c>
      <c r="J47" s="139">
        <v>4247325</v>
      </c>
      <c r="K47" s="139">
        <v>4331406</v>
      </c>
      <c r="L47" s="139">
        <v>156438</v>
      </c>
      <c r="M47" s="139">
        <f>83389+445532</f>
        <v>528921</v>
      </c>
      <c r="N47" s="139">
        <v>133906</v>
      </c>
      <c r="O47" s="139">
        <v>74995</v>
      </c>
      <c r="P47" s="139">
        <v>52000</v>
      </c>
      <c r="Q47" s="139">
        <v>359713</v>
      </c>
      <c r="R47" s="139">
        <v>410068.75</v>
      </c>
      <c r="S47" s="139">
        <v>566523</v>
      </c>
      <c r="T47" s="139">
        <v>370917</v>
      </c>
      <c r="U47" s="139">
        <v>357394</v>
      </c>
      <c r="V47" s="139">
        <f>16425-5000</f>
        <v>11425</v>
      </c>
      <c r="W47" s="139">
        <v>74995</v>
      </c>
      <c r="X47" s="139">
        <v>1293712</v>
      </c>
      <c r="Y47" s="139">
        <v>1107967</v>
      </c>
      <c r="Z47" s="7"/>
      <c r="AA47" s="119">
        <f t="shared" si="0"/>
        <v>22649591.75</v>
      </c>
    </row>
    <row r="48" spans="1:58" x14ac:dyDescent="0.2">
      <c r="A48" s="3" t="s">
        <v>62</v>
      </c>
      <c r="B48" s="31"/>
      <c r="C48" s="31"/>
      <c r="D48" s="31"/>
      <c r="E48" s="21"/>
      <c r="F48" s="21"/>
      <c r="G48" s="139"/>
      <c r="H48" s="21"/>
      <c r="I48" s="21"/>
      <c r="J48" s="139">
        <v>160000</v>
      </c>
      <c r="K48" s="21"/>
      <c r="L48" s="139"/>
      <c r="M48" s="139"/>
      <c r="N48" s="139"/>
      <c r="O48" s="139"/>
      <c r="P48" s="139"/>
      <c r="Q48" s="139">
        <v>30000</v>
      </c>
      <c r="R48" s="139"/>
      <c r="S48" s="139"/>
      <c r="T48" s="139">
        <v>309098</v>
      </c>
      <c r="U48" s="139"/>
      <c r="V48" s="139"/>
      <c r="W48" s="139"/>
      <c r="X48" s="139"/>
      <c r="Y48" s="139"/>
      <c r="Z48" s="7"/>
      <c r="AA48" s="119">
        <f t="shared" si="0"/>
        <v>499098</v>
      </c>
    </row>
    <row r="49" spans="1:58" x14ac:dyDescent="0.2">
      <c r="A49" s="3" t="s">
        <v>63</v>
      </c>
      <c r="B49" s="119">
        <f>142192-75000</f>
        <v>67192</v>
      </c>
      <c r="C49" s="119">
        <f>295659-130000</f>
        <v>165659</v>
      </c>
      <c r="D49" s="119">
        <v>3382</v>
      </c>
      <c r="E49" s="139">
        <v>4456</v>
      </c>
      <c r="F49" s="139">
        <f>45892-30000</f>
        <v>15892</v>
      </c>
      <c r="G49" s="139">
        <f>109928-G50</f>
        <v>9928</v>
      </c>
      <c r="H49" s="139">
        <f>26886-25000</f>
        <v>1886</v>
      </c>
      <c r="I49" s="139">
        <f>32817-30000</f>
        <v>2817</v>
      </c>
      <c r="J49" s="139">
        <f>130425-J50</f>
        <v>95629.28</v>
      </c>
      <c r="K49" s="139">
        <f>198154-K50</f>
        <v>152949.72</v>
      </c>
      <c r="L49" s="139">
        <f>55064-43400</f>
        <v>11664</v>
      </c>
      <c r="M49" s="139">
        <f>7817+30556</f>
        <v>38373</v>
      </c>
      <c r="N49" s="139">
        <v>12500</v>
      </c>
      <c r="O49" s="139">
        <f>35603-O50</f>
        <v>10603</v>
      </c>
      <c r="P49" s="139"/>
      <c r="Q49" s="139">
        <f>207888-Q50</f>
        <v>157888</v>
      </c>
      <c r="R49" s="139">
        <f>77859.94-57065</f>
        <v>20794.940000000002</v>
      </c>
      <c r="S49" s="139">
        <f>67377-30000</f>
        <v>37377</v>
      </c>
      <c r="T49" s="139">
        <v>19782</v>
      </c>
      <c r="U49" s="139">
        <v>36572</v>
      </c>
      <c r="V49" s="139">
        <v>1572</v>
      </c>
      <c r="W49" s="139">
        <v>1506</v>
      </c>
      <c r="X49" s="139">
        <f>107846-X50</f>
        <v>47846</v>
      </c>
      <c r="Y49" s="139">
        <f>160028-Y50</f>
        <v>95028</v>
      </c>
      <c r="Z49" s="7"/>
      <c r="AA49" s="119">
        <f t="shared" si="0"/>
        <v>1011296.94</v>
      </c>
    </row>
    <row r="50" spans="1:58" ht="13.5" thickBot="1" x14ac:dyDescent="0.25">
      <c r="A50" s="10" t="s">
        <v>22</v>
      </c>
      <c r="B50" s="56">
        <v>75000</v>
      </c>
      <c r="C50" s="56">
        <v>130000</v>
      </c>
      <c r="D50" s="56">
        <v>45000</v>
      </c>
      <c r="E50" s="57">
        <v>75000</v>
      </c>
      <c r="F50" s="57">
        <v>30000</v>
      </c>
      <c r="G50" s="57">
        <v>100000</v>
      </c>
      <c r="H50" s="57">
        <v>25000</v>
      </c>
      <c r="I50" s="57">
        <v>30000</v>
      </c>
      <c r="J50" s="57">
        <v>34795.72</v>
      </c>
      <c r="K50" s="57">
        <v>45204.28</v>
      </c>
      <c r="L50" s="57">
        <v>43400</v>
      </c>
      <c r="M50" s="57"/>
      <c r="N50" s="57"/>
      <c r="O50" s="57">
        <v>25000</v>
      </c>
      <c r="P50" s="57"/>
      <c r="Q50" s="57">
        <v>50000</v>
      </c>
      <c r="R50" s="57">
        <v>57065</v>
      </c>
      <c r="S50" s="57">
        <v>30000</v>
      </c>
      <c r="T50" s="139">
        <v>85300</v>
      </c>
      <c r="U50" s="139">
        <v>10000</v>
      </c>
      <c r="V50" s="139">
        <v>5000</v>
      </c>
      <c r="W50" s="139">
        <v>30000</v>
      </c>
      <c r="X50" s="139">
        <f>42000+18000</f>
        <v>60000</v>
      </c>
      <c r="Y50" s="139">
        <f>45500+19500</f>
        <v>65000</v>
      </c>
      <c r="Z50" s="11"/>
      <c r="AA50" s="119">
        <f t="shared" si="0"/>
        <v>1050765</v>
      </c>
    </row>
    <row r="51" spans="1:58" s="69" customFormat="1" ht="13.5" thickBot="1" x14ac:dyDescent="0.25">
      <c r="A51" s="67" t="s">
        <v>37</v>
      </c>
      <c r="B51" s="120">
        <f>SUM(B45:B50)</f>
        <v>3312230</v>
      </c>
      <c r="C51" s="120">
        <f>SUM(C45:C50)</f>
        <v>4930247</v>
      </c>
      <c r="D51" s="120">
        <f>SUM(D45:D50)</f>
        <v>226199.6</v>
      </c>
      <c r="E51" s="120">
        <f t="shared" ref="E51:T51" si="4">SUM(E45:E50)</f>
        <v>245551</v>
      </c>
      <c r="F51" s="120">
        <f>SUM(F45:F50)</f>
        <v>198545</v>
      </c>
      <c r="G51" s="120">
        <f>SUM(G45:G50)</f>
        <v>557753</v>
      </c>
      <c r="H51" s="120">
        <f t="shared" si="4"/>
        <v>43366</v>
      </c>
      <c r="I51" s="120">
        <f t="shared" si="4"/>
        <v>82812</v>
      </c>
      <c r="J51" s="120">
        <f t="shared" si="4"/>
        <v>4537750</v>
      </c>
      <c r="K51" s="120">
        <f t="shared" si="4"/>
        <v>4529560</v>
      </c>
      <c r="L51" s="120">
        <f t="shared" si="4"/>
        <v>243002</v>
      </c>
      <c r="M51" s="120">
        <f t="shared" si="4"/>
        <v>567294</v>
      </c>
      <c r="N51" s="120">
        <f t="shared" si="4"/>
        <v>238000</v>
      </c>
      <c r="O51" s="120">
        <f t="shared" si="4"/>
        <v>110598</v>
      </c>
      <c r="P51" s="120">
        <f t="shared" si="4"/>
        <v>52000</v>
      </c>
      <c r="Q51" s="120">
        <f t="shared" si="4"/>
        <v>657601</v>
      </c>
      <c r="R51" s="120">
        <f t="shared" si="4"/>
        <v>574703.68999999994</v>
      </c>
      <c r="S51" s="120">
        <f t="shared" si="4"/>
        <v>698670</v>
      </c>
      <c r="T51" s="120">
        <f t="shared" si="4"/>
        <v>859775</v>
      </c>
      <c r="U51" s="120">
        <f>SUM(U45:U50)</f>
        <v>403966</v>
      </c>
      <c r="V51" s="120">
        <f>SUM(V45:V50)</f>
        <v>17997</v>
      </c>
      <c r="W51" s="120">
        <f>SUM(W45:W50)</f>
        <v>106501</v>
      </c>
      <c r="X51" s="120">
        <f>SUM(X45:X50)</f>
        <v>1401558</v>
      </c>
      <c r="Y51" s="120">
        <f>SUM(Y45:Y50)</f>
        <v>1317995</v>
      </c>
      <c r="Z51" s="121"/>
      <c r="AA51" s="120">
        <f t="shared" si="0"/>
        <v>25913674.290000003</v>
      </c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</row>
    <row r="52" spans="1:58" s="68" customFormat="1" ht="13.5" thickBot="1" x14ac:dyDescent="0.25">
      <c r="A52" s="14" t="s">
        <v>208</v>
      </c>
      <c r="B52" s="116"/>
      <c r="C52" s="116"/>
      <c r="D52" s="11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2"/>
      <c r="AA52" s="116"/>
    </row>
    <row r="53" spans="1:58" s="71" customFormat="1" ht="13.5" thickBot="1" x14ac:dyDescent="0.25">
      <c r="A53" s="70" t="s">
        <v>38</v>
      </c>
      <c r="B53" s="123"/>
      <c r="C53" s="123"/>
      <c r="D53" s="123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4"/>
      <c r="AA53" s="123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</row>
    <row r="54" spans="1:58" ht="13.5" thickBot="1" x14ac:dyDescent="0.25">
      <c r="A54" s="25"/>
      <c r="B54" s="31"/>
      <c r="C54" s="31"/>
      <c r="D54" s="3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7"/>
      <c r="AA54" s="31"/>
    </row>
    <row r="55" spans="1:58" s="73" customFormat="1" ht="15.75" thickBot="1" x14ac:dyDescent="0.3">
      <c r="A55" s="96" t="s">
        <v>21</v>
      </c>
      <c r="B55" s="116"/>
      <c r="C55" s="116"/>
      <c r="D55" s="11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17"/>
      <c r="AA55" s="116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</row>
    <row r="56" spans="1:58" ht="13.5" thickBot="1" x14ac:dyDescent="0.25">
      <c r="A56" s="25"/>
      <c r="B56" s="31"/>
      <c r="C56" s="31"/>
      <c r="D56" s="3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7"/>
      <c r="AA56" s="31"/>
    </row>
    <row r="57" spans="1:58" s="43" customFormat="1" x14ac:dyDescent="0.2">
      <c r="A57" s="62" t="s">
        <v>45</v>
      </c>
      <c r="B57" s="63">
        <f t="shared" ref="B57:H57" si="5">SUM(B40,B51)</f>
        <v>3757252</v>
      </c>
      <c r="C57" s="63">
        <f t="shared" si="5"/>
        <v>5494568</v>
      </c>
      <c r="D57" s="63">
        <f t="shared" si="5"/>
        <v>480104.6</v>
      </c>
      <c r="E57" s="63">
        <f t="shared" si="5"/>
        <v>577901</v>
      </c>
      <c r="F57" s="63">
        <f t="shared" si="5"/>
        <v>314197</v>
      </c>
      <c r="G57" s="63">
        <f>SUM(G40,G51)</f>
        <v>788258</v>
      </c>
      <c r="H57" s="63">
        <f t="shared" si="5"/>
        <v>122021</v>
      </c>
      <c r="I57" s="63">
        <f>SUM(I40,I51)</f>
        <v>238364</v>
      </c>
      <c r="J57" s="63">
        <f>SUM(J40,J51)</f>
        <v>5079978</v>
      </c>
      <c r="K57" s="63">
        <f>SUM(K40,K51)</f>
        <v>5311933</v>
      </c>
      <c r="L57" s="63">
        <f>SUM(L40,L51)</f>
        <v>419956</v>
      </c>
      <c r="M57" s="63">
        <f>SUM(M40,M51)</f>
        <v>877320</v>
      </c>
      <c r="N57" s="63">
        <f t="shared" ref="N57:Y57" si="6">SUM(N40,N51)</f>
        <v>475000</v>
      </c>
      <c r="O57" s="63">
        <f t="shared" si="6"/>
        <v>261758</v>
      </c>
      <c r="P57" s="63">
        <f t="shared" si="6"/>
        <v>97865</v>
      </c>
      <c r="Q57" s="63">
        <f t="shared" si="6"/>
        <v>1327819</v>
      </c>
      <c r="R57" s="63">
        <f t="shared" si="6"/>
        <v>794774.69</v>
      </c>
      <c r="S57" s="63">
        <f t="shared" si="6"/>
        <v>918804.57000000007</v>
      </c>
      <c r="T57" s="63">
        <f t="shared" si="6"/>
        <v>1747247</v>
      </c>
      <c r="U57" s="63">
        <f t="shared" si="6"/>
        <v>705545</v>
      </c>
      <c r="V57" s="63">
        <f t="shared" si="6"/>
        <v>61524</v>
      </c>
      <c r="W57" s="63">
        <f t="shared" si="6"/>
        <v>279570</v>
      </c>
      <c r="X57" s="63">
        <f t="shared" si="6"/>
        <v>1779935</v>
      </c>
      <c r="Y57" s="63">
        <f t="shared" si="6"/>
        <v>1541200</v>
      </c>
      <c r="Z57" s="75"/>
      <c r="AA57" s="63">
        <f t="shared" si="0"/>
        <v>33452894.860000003</v>
      </c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</row>
    <row r="58" spans="1:58" s="47" customFormat="1" ht="13.5" thickBot="1" x14ac:dyDescent="0.25">
      <c r="A58" s="65" t="s">
        <v>36</v>
      </c>
      <c r="B58" s="56">
        <f t="shared" ref="B58:H58" si="7">B42+B51+B53</f>
        <v>3757252</v>
      </c>
      <c r="C58" s="56">
        <f t="shared" si="7"/>
        <v>5494568</v>
      </c>
      <c r="D58" s="56">
        <f t="shared" si="7"/>
        <v>480104.6</v>
      </c>
      <c r="E58" s="56">
        <f t="shared" si="7"/>
        <v>577901</v>
      </c>
      <c r="F58" s="56">
        <f t="shared" si="7"/>
        <v>314197</v>
      </c>
      <c r="G58" s="56">
        <f>G42+G51+G53</f>
        <v>788258</v>
      </c>
      <c r="H58" s="56">
        <f t="shared" si="7"/>
        <v>122021</v>
      </c>
      <c r="I58" s="56">
        <f>I42+I51+I53</f>
        <v>238364</v>
      </c>
      <c r="J58" s="56">
        <f>J42+J51+J53</f>
        <v>5079978</v>
      </c>
      <c r="K58" s="56">
        <f>K42+K51+K53</f>
        <v>5311933</v>
      </c>
      <c r="L58" s="56">
        <f>L42+L51+L53</f>
        <v>419956</v>
      </c>
      <c r="M58" s="56">
        <f>M42+M51+M53</f>
        <v>877320</v>
      </c>
      <c r="N58" s="56">
        <f t="shared" ref="N58:Y58" si="8">N42+N51+N53</f>
        <v>475000</v>
      </c>
      <c r="O58" s="56">
        <f t="shared" si="8"/>
        <v>261758</v>
      </c>
      <c r="P58" s="56">
        <f t="shared" si="8"/>
        <v>97865</v>
      </c>
      <c r="Q58" s="56">
        <f t="shared" si="8"/>
        <v>1342819</v>
      </c>
      <c r="R58" s="56">
        <f t="shared" si="8"/>
        <v>794774.69</v>
      </c>
      <c r="S58" s="56">
        <f t="shared" si="8"/>
        <v>918804.57000000007</v>
      </c>
      <c r="T58" s="56">
        <f t="shared" si="8"/>
        <v>2242500</v>
      </c>
      <c r="U58" s="56">
        <f t="shared" si="8"/>
        <v>705545</v>
      </c>
      <c r="V58" s="56">
        <f t="shared" si="8"/>
        <v>61524</v>
      </c>
      <c r="W58" s="56">
        <f t="shared" si="8"/>
        <v>279570</v>
      </c>
      <c r="X58" s="56">
        <f t="shared" si="8"/>
        <v>1779935</v>
      </c>
      <c r="Y58" s="56">
        <f t="shared" si="8"/>
        <v>1541200</v>
      </c>
      <c r="Z58" s="58"/>
      <c r="AA58" s="56">
        <f t="shared" si="0"/>
        <v>33963147.859999999</v>
      </c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</row>
    <row r="59" spans="1:58" x14ac:dyDescent="0.2">
      <c r="A59" s="25"/>
      <c r="B59" s="119"/>
      <c r="C59" s="119"/>
      <c r="D59" s="11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27"/>
      <c r="AA59" s="119">
        <f t="shared" si="0"/>
        <v>0</v>
      </c>
    </row>
    <row r="60" spans="1:58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9"/>
      <c r="AA60" s="16">
        <f t="shared" si="0"/>
        <v>0</v>
      </c>
    </row>
    <row r="61" spans="1:58" ht="12.75" customHeight="1" thickBot="1" x14ac:dyDescent="0.25">
      <c r="A61" s="25"/>
      <c r="B61" s="31"/>
      <c r="C61" s="31"/>
      <c r="D61" s="3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7"/>
      <c r="AA61" s="31"/>
    </row>
    <row r="62" spans="1:58" s="26" customFormat="1" ht="15" x14ac:dyDescent="0.25">
      <c r="A62" s="95" t="s">
        <v>23</v>
      </c>
      <c r="B62" s="105"/>
      <c r="C62" s="105"/>
      <c r="D62" s="105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7"/>
      <c r="AA62" s="105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</row>
    <row r="63" spans="1:58" x14ac:dyDescent="0.2">
      <c r="A63" s="3" t="s">
        <v>10</v>
      </c>
      <c r="B63" s="77">
        <f t="shared" ref="B63:Y73" si="9">B15/(B$9/1000)</f>
        <v>0.32173514776546935</v>
      </c>
      <c r="C63" s="77">
        <f t="shared" si="9"/>
        <v>0.17623669219991614</v>
      </c>
      <c r="D63" s="77">
        <f t="shared" si="9"/>
        <v>23.67549668874172</v>
      </c>
      <c r="E63" s="77">
        <f t="shared" si="9"/>
        <v>18.469656992084431</v>
      </c>
      <c r="F63" s="77">
        <f t="shared" si="9"/>
        <v>0.66986089644513136</v>
      </c>
      <c r="G63" s="77">
        <f t="shared" si="9"/>
        <v>0.73658683637581646</v>
      </c>
      <c r="H63" s="77">
        <f t="shared" si="9"/>
        <v>1.1514563106796116</v>
      </c>
      <c r="I63" s="77">
        <f t="shared" si="9"/>
        <v>1.6001600160016001</v>
      </c>
      <c r="J63" s="77">
        <f t="shared" si="9"/>
        <v>0.17503487489184369</v>
      </c>
      <c r="K63" s="77">
        <f t="shared" si="9"/>
        <v>0.19320434252058916</v>
      </c>
      <c r="L63" s="77">
        <f t="shared" si="9"/>
        <v>1.5555555555555556</v>
      </c>
      <c r="M63" s="77">
        <f t="shared" si="9"/>
        <v>0.59846515270164446</v>
      </c>
      <c r="N63" s="77">
        <f t="shared" si="9"/>
        <v>1.2181818181818183</v>
      </c>
      <c r="O63" s="77">
        <f t="shared" si="9"/>
        <v>0.73338222548169874</v>
      </c>
      <c r="P63" s="77">
        <f t="shared" si="9"/>
        <v>0</v>
      </c>
      <c r="Q63" s="77">
        <f t="shared" si="9"/>
        <v>1.342011675501577</v>
      </c>
      <c r="R63" s="77">
        <f t="shared" si="9"/>
        <v>0.72368769806972055</v>
      </c>
      <c r="S63" s="77">
        <f t="shared" si="9"/>
        <v>0.38598116411919098</v>
      </c>
      <c r="T63" s="77">
        <f t="shared" si="9"/>
        <v>4.2467138523761374</v>
      </c>
      <c r="U63" s="77">
        <f t="shared" si="9"/>
        <v>0.92651884396238071</v>
      </c>
      <c r="V63" s="77">
        <f t="shared" si="9"/>
        <v>1.7048706240487062</v>
      </c>
      <c r="W63" s="77">
        <f t="shared" si="9"/>
        <v>0.90006000400026664</v>
      </c>
      <c r="X63" s="77">
        <f t="shared" si="9"/>
        <v>0.47962327771641183</v>
      </c>
      <c r="Y63" s="77">
        <f t="shared" si="9"/>
        <v>0.20405558305636093</v>
      </c>
      <c r="Z63" s="86"/>
      <c r="AA63" s="82">
        <v>0.45597428155147485</v>
      </c>
    </row>
    <row r="64" spans="1:58" x14ac:dyDescent="0.2">
      <c r="A64" s="3" t="s">
        <v>31</v>
      </c>
      <c r="B64" s="77">
        <f t="shared" si="9"/>
        <v>0</v>
      </c>
      <c r="C64" s="77">
        <f t="shared" si="9"/>
        <v>0</v>
      </c>
      <c r="D64" s="77">
        <f t="shared" si="9"/>
        <v>0</v>
      </c>
      <c r="E64" s="77">
        <f t="shared" si="9"/>
        <v>0</v>
      </c>
      <c r="F64" s="77">
        <f t="shared" si="9"/>
        <v>0</v>
      </c>
      <c r="G64" s="77">
        <f t="shared" si="9"/>
        <v>0</v>
      </c>
      <c r="H64" s="77">
        <f t="shared" si="9"/>
        <v>0.45709951456310682</v>
      </c>
      <c r="I64" s="77">
        <f t="shared" si="9"/>
        <v>0.27042704270427043</v>
      </c>
      <c r="J64" s="77">
        <f t="shared" si="9"/>
        <v>2.5321820204481645E-2</v>
      </c>
      <c r="K64" s="77">
        <f t="shared" si="9"/>
        <v>2.7950811183206279E-2</v>
      </c>
      <c r="L64" s="77">
        <f t="shared" si="9"/>
        <v>0</v>
      </c>
      <c r="M64" s="77">
        <f t="shared" si="9"/>
        <v>0</v>
      </c>
      <c r="N64" s="77">
        <f t="shared" si="9"/>
        <v>0</v>
      </c>
      <c r="O64" s="77">
        <f t="shared" si="9"/>
        <v>0.22545503033535569</v>
      </c>
      <c r="P64" s="77">
        <f t="shared" si="9"/>
        <v>0</v>
      </c>
      <c r="Q64" s="77">
        <f t="shared" si="9"/>
        <v>0</v>
      </c>
      <c r="R64" s="77">
        <f t="shared" si="9"/>
        <v>0</v>
      </c>
      <c r="S64" s="77">
        <f t="shared" si="9"/>
        <v>0</v>
      </c>
      <c r="T64" s="77">
        <f t="shared" si="9"/>
        <v>0</v>
      </c>
      <c r="U64" s="77">
        <f t="shared" si="9"/>
        <v>0</v>
      </c>
      <c r="V64" s="77">
        <f t="shared" si="9"/>
        <v>0</v>
      </c>
      <c r="W64" s="77">
        <f t="shared" si="9"/>
        <v>0.22544169611307421</v>
      </c>
      <c r="X64" s="77">
        <f t="shared" si="9"/>
        <v>0</v>
      </c>
      <c r="Y64" s="77">
        <f t="shared" si="9"/>
        <v>0</v>
      </c>
      <c r="Z64" s="86"/>
      <c r="AA64" s="77">
        <v>4.9355685794301912E-2</v>
      </c>
    </row>
    <row r="65" spans="1:27" x14ac:dyDescent="0.2">
      <c r="A65" s="3" t="s">
        <v>11</v>
      </c>
      <c r="B65" s="77">
        <f t="shared" si="9"/>
        <v>0</v>
      </c>
      <c r="C65" s="77">
        <f t="shared" si="9"/>
        <v>6.3897894273938702E-2</v>
      </c>
      <c r="D65" s="77">
        <f t="shared" si="9"/>
        <v>0</v>
      </c>
      <c r="E65" s="77">
        <f t="shared" si="9"/>
        <v>6.5963060686015833</v>
      </c>
      <c r="F65" s="77">
        <f t="shared" si="9"/>
        <v>1.303338485316847</v>
      </c>
      <c r="G65" s="77">
        <f t="shared" si="9"/>
        <v>0.11237648635069503</v>
      </c>
      <c r="H65" s="77">
        <f t="shared" si="9"/>
        <v>0.66747572815533984</v>
      </c>
      <c r="I65" s="77">
        <f t="shared" si="9"/>
        <v>0.36999699969997002</v>
      </c>
      <c r="J65" s="77">
        <f t="shared" si="9"/>
        <v>0.1755787466228744</v>
      </c>
      <c r="K65" s="77">
        <f t="shared" si="9"/>
        <v>0.19380501884430595</v>
      </c>
      <c r="L65" s="77">
        <f t="shared" si="9"/>
        <v>2.0634920634920637</v>
      </c>
      <c r="M65" s="77">
        <f t="shared" si="9"/>
        <v>0.50156617071260767</v>
      </c>
      <c r="N65" s="77">
        <f t="shared" si="9"/>
        <v>1.5</v>
      </c>
      <c r="O65" s="77">
        <f t="shared" si="9"/>
        <v>0.36334422294819657</v>
      </c>
      <c r="P65" s="77">
        <f t="shared" si="9"/>
        <v>0</v>
      </c>
      <c r="Q65" s="77">
        <f t="shared" si="9"/>
        <v>1.0065087566261826</v>
      </c>
      <c r="R65" s="77">
        <f t="shared" si="9"/>
        <v>0.51152981849611068</v>
      </c>
      <c r="S65" s="77">
        <f t="shared" si="9"/>
        <v>0.46763825845298751</v>
      </c>
      <c r="T65" s="77">
        <f t="shared" si="9"/>
        <v>1.5055611729019212</v>
      </c>
      <c r="U65" s="77">
        <f t="shared" si="9"/>
        <v>0.5231894007002128</v>
      </c>
      <c r="V65" s="77">
        <f t="shared" si="9"/>
        <v>1.5220700152207001</v>
      </c>
      <c r="W65" s="77">
        <f t="shared" si="9"/>
        <v>0.36333088872591507</v>
      </c>
      <c r="X65" s="77">
        <f t="shared" si="9"/>
        <v>0.26451950467996049</v>
      </c>
      <c r="Y65" s="77">
        <f t="shared" si="9"/>
        <v>0.22982815925323527</v>
      </c>
      <c r="Z65" s="86"/>
      <c r="AA65" s="77">
        <v>0.2952674002696028</v>
      </c>
    </row>
    <row r="66" spans="1:27" x14ac:dyDescent="0.2">
      <c r="A66" s="3" t="s">
        <v>73</v>
      </c>
      <c r="B66" s="77">
        <f>B18/(B$9/1000)</f>
        <v>0</v>
      </c>
      <c r="C66" s="77">
        <f t="shared" si="9"/>
        <v>0</v>
      </c>
      <c r="D66" s="77">
        <f t="shared" si="9"/>
        <v>0</v>
      </c>
      <c r="E66" s="77">
        <f t="shared" si="9"/>
        <v>0</v>
      </c>
      <c r="F66" s="77">
        <f t="shared" si="9"/>
        <v>0</v>
      </c>
      <c r="G66" s="77">
        <f t="shared" si="9"/>
        <v>0</v>
      </c>
      <c r="H66" s="77">
        <f t="shared" si="9"/>
        <v>0</v>
      </c>
      <c r="I66" s="77">
        <f t="shared" si="9"/>
        <v>0</v>
      </c>
      <c r="J66" s="77">
        <f t="shared" si="9"/>
        <v>0</v>
      </c>
      <c r="K66" s="77">
        <f t="shared" si="9"/>
        <v>0</v>
      </c>
      <c r="L66" s="77">
        <f t="shared" si="9"/>
        <v>0</v>
      </c>
      <c r="M66" s="77">
        <f t="shared" si="9"/>
        <v>0</v>
      </c>
      <c r="N66" s="77">
        <f t="shared" si="9"/>
        <v>0</v>
      </c>
      <c r="O66" s="77">
        <f t="shared" si="9"/>
        <v>0</v>
      </c>
      <c r="P66" s="77">
        <f t="shared" si="9"/>
        <v>0</v>
      </c>
      <c r="Q66" s="77">
        <f t="shared" si="9"/>
        <v>0</v>
      </c>
      <c r="R66" s="77">
        <f t="shared" si="9"/>
        <v>0</v>
      </c>
      <c r="S66" s="77">
        <f t="shared" si="9"/>
        <v>0</v>
      </c>
      <c r="T66" s="77">
        <f t="shared" si="9"/>
        <v>0</v>
      </c>
      <c r="U66" s="77">
        <f t="shared" si="9"/>
        <v>0</v>
      </c>
      <c r="V66" s="77">
        <f t="shared" si="9"/>
        <v>0</v>
      </c>
      <c r="W66" s="77">
        <f t="shared" si="9"/>
        <v>0</v>
      </c>
      <c r="X66" s="77">
        <f t="shared" si="9"/>
        <v>0</v>
      </c>
      <c r="Y66" s="77">
        <f t="shared" si="9"/>
        <v>0</v>
      </c>
      <c r="Z66" s="86"/>
      <c r="AA66" s="77">
        <v>0</v>
      </c>
    </row>
    <row r="67" spans="1:27" x14ac:dyDescent="0.2">
      <c r="A67" s="3" t="s">
        <v>12</v>
      </c>
      <c r="B67" s="77">
        <f>B19/(B$9/1000)</f>
        <v>9.3153960207733328E-3</v>
      </c>
      <c r="C67" s="77">
        <f t="shared" si="9"/>
        <v>3.5119297204978472E-3</v>
      </c>
      <c r="D67" s="77">
        <f t="shared" si="9"/>
        <v>0.54519867549668877</v>
      </c>
      <c r="E67" s="77">
        <f t="shared" si="9"/>
        <v>0.86015831134564646</v>
      </c>
      <c r="F67" s="77">
        <f t="shared" si="9"/>
        <v>0.10346213292117465</v>
      </c>
      <c r="G67" s="77">
        <f t="shared" si="9"/>
        <v>5.2091776921788645E-2</v>
      </c>
      <c r="H67" s="77">
        <f t="shared" si="9"/>
        <v>5.4368932038834951E-2</v>
      </c>
      <c r="I67" s="77">
        <f t="shared" si="9"/>
        <v>1.9681968196819683E-2</v>
      </c>
      <c r="J67" s="77">
        <f t="shared" si="9"/>
        <v>2.1978539433643528E-3</v>
      </c>
      <c r="K67" s="77">
        <f t="shared" si="9"/>
        <v>2.4252193999540713E-3</v>
      </c>
      <c r="L67" s="77">
        <f t="shared" si="9"/>
        <v>6.7269841269841271E-2</v>
      </c>
      <c r="M67" s="77">
        <f t="shared" si="9"/>
        <v>2.8817541111981208E-2</v>
      </c>
      <c r="N67" s="77">
        <f t="shared" si="9"/>
        <v>1.8181818181818181E-2</v>
      </c>
      <c r="O67" s="77">
        <f t="shared" si="9"/>
        <v>1.3374224948329889E-2</v>
      </c>
      <c r="P67" s="77">
        <f t="shared" si="9"/>
        <v>0</v>
      </c>
      <c r="Q67" s="77">
        <f t="shared" si="9"/>
        <v>1.7647453532845737E-2</v>
      </c>
      <c r="R67" s="77">
        <f t="shared" si="9"/>
        <v>4.3330452319216367E-2</v>
      </c>
      <c r="S67" s="77">
        <f t="shared" si="9"/>
        <v>9.2498070094179409E-3</v>
      </c>
      <c r="T67" s="77">
        <f t="shared" si="9"/>
        <v>5.0556117290192111E-2</v>
      </c>
      <c r="U67" s="77">
        <f t="shared" si="9"/>
        <v>1.6818837097549257E-2</v>
      </c>
      <c r="V67" s="77">
        <f t="shared" si="9"/>
        <v>0.31902587519025877</v>
      </c>
      <c r="W67" s="77">
        <f t="shared" si="9"/>
        <v>1.2187479165277685E-2</v>
      </c>
      <c r="X67" s="77">
        <f t="shared" si="9"/>
        <v>4.3892796930411022E-3</v>
      </c>
      <c r="Y67" s="77">
        <f t="shared" si="9"/>
        <v>4.6354571812460225E-3</v>
      </c>
      <c r="Z67" s="86"/>
      <c r="AA67" s="77">
        <v>1.1659798910316816E-2</v>
      </c>
    </row>
    <row r="68" spans="1:27" x14ac:dyDescent="0.2">
      <c r="A68" s="3" t="s">
        <v>13</v>
      </c>
      <c r="B68" s="77">
        <f t="shared" si="9"/>
        <v>3.8814150086555555E-3</v>
      </c>
      <c r="C68" s="77">
        <f t="shared" si="9"/>
        <v>0</v>
      </c>
      <c r="D68" s="77">
        <f t="shared" si="9"/>
        <v>0</v>
      </c>
      <c r="E68" s="77">
        <f t="shared" si="9"/>
        <v>0</v>
      </c>
      <c r="F68" s="77">
        <f t="shared" si="9"/>
        <v>1.9474497681607418E-3</v>
      </c>
      <c r="G68" s="77">
        <f t="shared" si="9"/>
        <v>6.6990453860324905E-3</v>
      </c>
      <c r="H68" s="77">
        <f t="shared" si="9"/>
        <v>0</v>
      </c>
      <c r="I68" s="77">
        <f t="shared" si="9"/>
        <v>0</v>
      </c>
      <c r="J68" s="77">
        <f t="shared" si="9"/>
        <v>0</v>
      </c>
      <c r="K68" s="77">
        <f t="shared" si="9"/>
        <v>0</v>
      </c>
      <c r="L68" s="77">
        <f t="shared" si="9"/>
        <v>1.5873015873015872E-2</v>
      </c>
      <c r="M68" s="77">
        <f t="shared" si="9"/>
        <v>3.2106499608457323E-2</v>
      </c>
      <c r="N68" s="77">
        <f t="shared" si="9"/>
        <v>0</v>
      </c>
      <c r="O68" s="77">
        <f t="shared" si="9"/>
        <v>0</v>
      </c>
      <c r="P68" s="77">
        <f t="shared" si="9"/>
        <v>0</v>
      </c>
      <c r="Q68" s="77">
        <f t="shared" si="9"/>
        <v>0</v>
      </c>
      <c r="R68" s="77">
        <f t="shared" si="9"/>
        <v>5.1858254105445117E-2</v>
      </c>
      <c r="S68" s="77">
        <f t="shared" si="9"/>
        <v>1.2863980237764396E-3</v>
      </c>
      <c r="T68" s="77">
        <f t="shared" si="9"/>
        <v>0</v>
      </c>
      <c r="U68" s="77">
        <f t="shared" si="9"/>
        <v>7.5513146152261963E-3</v>
      </c>
      <c r="V68" s="77">
        <f t="shared" si="9"/>
        <v>8.3713850837138504E-2</v>
      </c>
      <c r="W68" s="77">
        <f t="shared" si="9"/>
        <v>0</v>
      </c>
      <c r="X68" s="77">
        <f t="shared" si="9"/>
        <v>0</v>
      </c>
      <c r="Y68" s="77">
        <f t="shared" si="9"/>
        <v>1.7679089173325789E-3</v>
      </c>
      <c r="Z68" s="86"/>
      <c r="AA68" s="77">
        <v>9.154608429409121E-3</v>
      </c>
    </row>
    <row r="69" spans="1:27" x14ac:dyDescent="0.2">
      <c r="A69" s="3" t="s">
        <v>14</v>
      </c>
      <c r="B69" s="77">
        <f t="shared" si="9"/>
        <v>5.4339810121177778E-2</v>
      </c>
      <c r="C69" s="77">
        <f t="shared" si="9"/>
        <v>0.1</v>
      </c>
      <c r="D69" s="77">
        <f t="shared" si="9"/>
        <v>0</v>
      </c>
      <c r="E69" s="77">
        <f t="shared" si="9"/>
        <v>0</v>
      </c>
      <c r="F69" s="77">
        <f t="shared" si="9"/>
        <v>0</v>
      </c>
      <c r="G69" s="77">
        <f t="shared" si="9"/>
        <v>0.50242840395243682</v>
      </c>
      <c r="H69" s="77">
        <f t="shared" si="9"/>
        <v>0</v>
      </c>
      <c r="I69" s="77">
        <f t="shared" si="9"/>
        <v>0</v>
      </c>
      <c r="J69" s="77">
        <f t="shared" si="9"/>
        <v>4.8183268292395803E-2</v>
      </c>
      <c r="K69" s="77">
        <f t="shared" si="9"/>
        <v>5.3184620164533077E-2</v>
      </c>
      <c r="L69" s="77">
        <f t="shared" si="9"/>
        <v>0</v>
      </c>
      <c r="M69" s="77">
        <f t="shared" si="9"/>
        <v>0.23492560689115113</v>
      </c>
      <c r="N69" s="77">
        <f t="shared" si="9"/>
        <v>0.81818181818181823</v>
      </c>
      <c r="O69" s="77">
        <f t="shared" si="9"/>
        <v>0</v>
      </c>
      <c r="P69" s="77">
        <f t="shared" si="9"/>
        <v>0</v>
      </c>
      <c r="Q69" s="77">
        <f t="shared" si="9"/>
        <v>0.40260350265047307</v>
      </c>
      <c r="R69" s="77">
        <f t="shared" si="9"/>
        <v>0</v>
      </c>
      <c r="S69" s="77">
        <f t="shared" si="9"/>
        <v>0</v>
      </c>
      <c r="T69" s="77">
        <f t="shared" si="9"/>
        <v>0.67977755308392318</v>
      </c>
      <c r="U69" s="77">
        <f t="shared" si="9"/>
        <v>0</v>
      </c>
      <c r="V69" s="77">
        <f t="shared" si="9"/>
        <v>0</v>
      </c>
      <c r="W69" s="77">
        <f t="shared" si="9"/>
        <v>0</v>
      </c>
      <c r="X69" s="77">
        <f t="shared" si="9"/>
        <v>0</v>
      </c>
      <c r="Y69" s="77">
        <f t="shared" si="9"/>
        <v>0</v>
      </c>
      <c r="Z69" s="86"/>
      <c r="AA69" s="77">
        <v>0.11584513549792813</v>
      </c>
    </row>
    <row r="70" spans="1:27" x14ac:dyDescent="0.2">
      <c r="A70" s="3" t="s">
        <v>15</v>
      </c>
      <c r="B70" s="77">
        <f t="shared" si="9"/>
        <v>0</v>
      </c>
      <c r="C70" s="77">
        <f t="shared" si="9"/>
        <v>0</v>
      </c>
      <c r="D70" s="77">
        <f t="shared" si="9"/>
        <v>0</v>
      </c>
      <c r="E70" s="77">
        <f t="shared" si="9"/>
        <v>0</v>
      </c>
      <c r="F70" s="77">
        <f t="shared" si="9"/>
        <v>0</v>
      </c>
      <c r="G70" s="77">
        <f t="shared" si="9"/>
        <v>0</v>
      </c>
      <c r="H70" s="77">
        <f t="shared" si="9"/>
        <v>0.24271844660194175</v>
      </c>
      <c r="I70" s="77">
        <f t="shared" si="9"/>
        <v>6.0006000600060005E-2</v>
      </c>
      <c r="J70" s="77">
        <f t="shared" si="9"/>
        <v>0</v>
      </c>
      <c r="K70" s="77">
        <f t="shared" si="9"/>
        <v>0</v>
      </c>
      <c r="L70" s="77">
        <f t="shared" si="9"/>
        <v>0</v>
      </c>
      <c r="M70" s="77">
        <f t="shared" si="9"/>
        <v>0</v>
      </c>
      <c r="N70" s="77">
        <f t="shared" si="9"/>
        <v>0</v>
      </c>
      <c r="O70" s="77">
        <f t="shared" si="9"/>
        <v>0</v>
      </c>
      <c r="P70" s="77">
        <f t="shared" si="9"/>
        <v>0</v>
      </c>
      <c r="Q70" s="77">
        <f t="shared" si="9"/>
        <v>0</v>
      </c>
      <c r="R70" s="77">
        <f t="shared" si="9"/>
        <v>0</v>
      </c>
      <c r="S70" s="77">
        <f t="shared" si="9"/>
        <v>0</v>
      </c>
      <c r="T70" s="77">
        <f t="shared" si="9"/>
        <v>0</v>
      </c>
      <c r="U70" s="77">
        <f t="shared" si="9"/>
        <v>0</v>
      </c>
      <c r="V70" s="77">
        <f t="shared" si="9"/>
        <v>0</v>
      </c>
      <c r="W70" s="77">
        <f t="shared" si="9"/>
        <v>0</v>
      </c>
      <c r="X70" s="77">
        <f t="shared" si="9"/>
        <v>0</v>
      </c>
      <c r="Y70" s="77">
        <f t="shared" si="9"/>
        <v>0</v>
      </c>
      <c r="Z70" s="86"/>
      <c r="AA70" s="77">
        <v>0.1053027453930049</v>
      </c>
    </row>
    <row r="71" spans="1:27" x14ac:dyDescent="0.2">
      <c r="A71" s="3" t="s">
        <v>16</v>
      </c>
      <c r="B71" s="77">
        <f t="shared" si="9"/>
        <v>0</v>
      </c>
      <c r="C71" s="77">
        <f t="shared" si="9"/>
        <v>0</v>
      </c>
      <c r="D71" s="77">
        <f t="shared" si="9"/>
        <v>0</v>
      </c>
      <c r="E71" s="77">
        <f t="shared" si="9"/>
        <v>0</v>
      </c>
      <c r="F71" s="77">
        <f t="shared" si="9"/>
        <v>0</v>
      </c>
      <c r="G71" s="77">
        <f t="shared" si="9"/>
        <v>0</v>
      </c>
      <c r="H71" s="77">
        <f t="shared" si="9"/>
        <v>0.91019417475728159</v>
      </c>
      <c r="I71" s="77">
        <f t="shared" si="9"/>
        <v>0.30003000300030003</v>
      </c>
      <c r="J71" s="77">
        <f t="shared" si="9"/>
        <v>0</v>
      </c>
      <c r="K71" s="77">
        <f t="shared" si="9"/>
        <v>0</v>
      </c>
      <c r="L71" s="77">
        <f t="shared" si="9"/>
        <v>0</v>
      </c>
      <c r="M71" s="77">
        <f t="shared" si="9"/>
        <v>0</v>
      </c>
      <c r="N71" s="77">
        <f t="shared" si="9"/>
        <v>0</v>
      </c>
      <c r="O71" s="77">
        <f t="shared" si="9"/>
        <v>0.23334888992599506</v>
      </c>
      <c r="P71" s="77">
        <f t="shared" si="9"/>
        <v>0</v>
      </c>
      <c r="Q71" s="77">
        <f t="shared" si="9"/>
        <v>0</v>
      </c>
      <c r="R71" s="77">
        <f t="shared" si="9"/>
        <v>0</v>
      </c>
      <c r="S71" s="77">
        <f t="shared" si="9"/>
        <v>0</v>
      </c>
      <c r="T71" s="77">
        <f t="shared" si="9"/>
        <v>0</v>
      </c>
      <c r="U71" s="77">
        <f t="shared" si="9"/>
        <v>0</v>
      </c>
      <c r="V71" s="77">
        <f t="shared" si="9"/>
        <v>0</v>
      </c>
      <c r="W71" s="77">
        <f t="shared" si="9"/>
        <v>0.33335555703713582</v>
      </c>
      <c r="X71" s="77">
        <f t="shared" si="9"/>
        <v>0</v>
      </c>
      <c r="Y71" s="77">
        <f t="shared" si="9"/>
        <v>0</v>
      </c>
      <c r="Z71" s="86"/>
      <c r="AA71" s="77">
        <v>0.3349271244773982</v>
      </c>
    </row>
    <row r="72" spans="1:27" x14ac:dyDescent="0.2">
      <c r="A72" s="3" t="s">
        <v>26</v>
      </c>
      <c r="B72" s="77">
        <f t="shared" si="9"/>
        <v>0</v>
      </c>
      <c r="C72" s="77">
        <f t="shared" si="9"/>
        <v>0</v>
      </c>
      <c r="D72" s="77">
        <f t="shared" si="9"/>
        <v>1.9039735099337749</v>
      </c>
      <c r="E72" s="77">
        <f t="shared" si="9"/>
        <v>1.6490765171503958</v>
      </c>
      <c r="F72" s="77">
        <f t="shared" si="9"/>
        <v>0</v>
      </c>
      <c r="G72" s="77">
        <f t="shared" si="9"/>
        <v>0</v>
      </c>
      <c r="H72" s="77">
        <f t="shared" si="9"/>
        <v>0</v>
      </c>
      <c r="I72" s="77">
        <f t="shared" si="9"/>
        <v>0</v>
      </c>
      <c r="J72" s="77">
        <f t="shared" si="9"/>
        <v>0</v>
      </c>
      <c r="K72" s="77">
        <f t="shared" si="9"/>
        <v>0</v>
      </c>
      <c r="L72" s="77">
        <f t="shared" si="9"/>
        <v>0</v>
      </c>
      <c r="M72" s="77">
        <f t="shared" si="9"/>
        <v>0</v>
      </c>
      <c r="N72" s="77">
        <f t="shared" si="9"/>
        <v>2.7272727272727271E-2</v>
      </c>
      <c r="O72" s="77">
        <f t="shared" si="9"/>
        <v>0</v>
      </c>
      <c r="P72" s="77">
        <f t="shared" si="9"/>
        <v>0.76190476190476186</v>
      </c>
      <c r="Q72" s="77">
        <f t="shared" si="9"/>
        <v>6.710058377507884E-2</v>
      </c>
      <c r="R72" s="77">
        <f t="shared" si="9"/>
        <v>0</v>
      </c>
      <c r="S72" s="77">
        <f t="shared" si="9"/>
        <v>0</v>
      </c>
      <c r="T72" s="77">
        <f t="shared" si="9"/>
        <v>0.72800808897876645</v>
      </c>
      <c r="U72" s="77">
        <f t="shared" si="9"/>
        <v>0</v>
      </c>
      <c r="V72" s="77">
        <f t="shared" si="9"/>
        <v>0</v>
      </c>
      <c r="W72" s="77">
        <f t="shared" si="9"/>
        <v>0</v>
      </c>
      <c r="X72" s="77">
        <f t="shared" si="9"/>
        <v>0</v>
      </c>
      <c r="Y72" s="77">
        <f t="shared" si="9"/>
        <v>0</v>
      </c>
      <c r="Z72" s="86"/>
      <c r="AA72" s="77">
        <v>0.27721681659629155</v>
      </c>
    </row>
    <row r="73" spans="1:27" x14ac:dyDescent="0.2">
      <c r="A73" s="3" t="s">
        <v>27</v>
      </c>
      <c r="B73" s="77">
        <f t="shared" si="9"/>
        <v>0</v>
      </c>
      <c r="C73" s="77">
        <f t="shared" si="9"/>
        <v>0</v>
      </c>
      <c r="D73" s="77">
        <f t="shared" si="9"/>
        <v>0</v>
      </c>
      <c r="E73" s="77">
        <f t="shared" si="9"/>
        <v>0</v>
      </c>
      <c r="F73" s="77">
        <f t="shared" si="9"/>
        <v>0</v>
      </c>
      <c r="G73" s="77">
        <f t="shared" si="9"/>
        <v>0</v>
      </c>
      <c r="H73" s="77">
        <f t="shared" si="9"/>
        <v>0</v>
      </c>
      <c r="I73" s="77">
        <f t="shared" si="9"/>
        <v>0</v>
      </c>
      <c r="J73" s="77">
        <f t="shared" si="9"/>
        <v>0</v>
      </c>
      <c r="K73" s="77">
        <f t="shared" si="9"/>
        <v>0</v>
      </c>
      <c r="L73" s="77">
        <f t="shared" si="9"/>
        <v>0</v>
      </c>
      <c r="M73" s="77">
        <f t="shared" si="9"/>
        <v>0</v>
      </c>
      <c r="N73" s="77">
        <f t="shared" si="9"/>
        <v>4.5454545454545456E-2</v>
      </c>
      <c r="O73" s="77">
        <f t="shared" si="9"/>
        <v>0</v>
      </c>
      <c r="P73" s="77">
        <f t="shared" si="9"/>
        <v>0</v>
      </c>
      <c r="Q73" s="77">
        <f t="shared" si="9"/>
        <v>4.6970408642555188E-2</v>
      </c>
      <c r="R73" s="77">
        <f t="shared" si="9"/>
        <v>0</v>
      </c>
      <c r="S73" s="77">
        <f t="shared" ref="R73:Y83" si="10">S25/(S$9/1000)</f>
        <v>0</v>
      </c>
      <c r="T73" s="77">
        <f t="shared" si="10"/>
        <v>0.15166835187057634</v>
      </c>
      <c r="U73" s="77">
        <f t="shared" si="10"/>
        <v>0</v>
      </c>
      <c r="V73" s="77">
        <f t="shared" si="10"/>
        <v>0</v>
      </c>
      <c r="W73" s="77">
        <f t="shared" si="10"/>
        <v>0</v>
      </c>
      <c r="X73" s="77">
        <f t="shared" si="10"/>
        <v>0</v>
      </c>
      <c r="Y73" s="77">
        <f t="shared" si="10"/>
        <v>0</v>
      </c>
      <c r="Z73" s="86"/>
      <c r="AA73" s="77">
        <v>6.7066435221713738E-2</v>
      </c>
    </row>
    <row r="74" spans="1:27" x14ac:dyDescent="0.2">
      <c r="A74" s="3" t="s">
        <v>17</v>
      </c>
      <c r="B74" s="77">
        <f t="shared" ref="B74:Q83" si="11">B26/(B$9/1000)</f>
        <v>0</v>
      </c>
      <c r="C74" s="77">
        <f t="shared" si="11"/>
        <v>6.13616142195314E-4</v>
      </c>
      <c r="D74" s="77">
        <f t="shared" si="11"/>
        <v>0</v>
      </c>
      <c r="E74" s="77">
        <f t="shared" si="11"/>
        <v>0</v>
      </c>
      <c r="F74" s="77">
        <f t="shared" si="11"/>
        <v>0</v>
      </c>
      <c r="G74" s="77">
        <f t="shared" si="11"/>
        <v>0</v>
      </c>
      <c r="H74" s="77">
        <f t="shared" si="11"/>
        <v>0</v>
      </c>
      <c r="I74" s="77">
        <f t="shared" si="11"/>
        <v>1.6001600160016002E-2</v>
      </c>
      <c r="J74" s="77">
        <f t="shared" si="11"/>
        <v>0</v>
      </c>
      <c r="K74" s="77">
        <f t="shared" si="11"/>
        <v>0</v>
      </c>
      <c r="L74" s="77">
        <f t="shared" si="11"/>
        <v>0</v>
      </c>
      <c r="M74" s="77">
        <f t="shared" si="11"/>
        <v>1.9577133907595929E-3</v>
      </c>
      <c r="N74" s="77">
        <f t="shared" si="11"/>
        <v>0</v>
      </c>
      <c r="O74" s="77">
        <f t="shared" si="11"/>
        <v>0</v>
      </c>
      <c r="P74" s="77">
        <f t="shared" si="11"/>
        <v>0</v>
      </c>
      <c r="Q74" s="77">
        <f t="shared" si="11"/>
        <v>0</v>
      </c>
      <c r="R74" s="77">
        <f t="shared" si="10"/>
        <v>0</v>
      </c>
      <c r="S74" s="77">
        <f t="shared" si="10"/>
        <v>0</v>
      </c>
      <c r="T74" s="77">
        <f t="shared" si="10"/>
        <v>0</v>
      </c>
      <c r="U74" s="77">
        <f t="shared" si="10"/>
        <v>5.1486236012905882E-3</v>
      </c>
      <c r="V74" s="77">
        <f t="shared" si="10"/>
        <v>0.11415525114155251</v>
      </c>
      <c r="W74" s="77">
        <f t="shared" si="10"/>
        <v>0</v>
      </c>
      <c r="X74" s="77">
        <f t="shared" si="10"/>
        <v>2.1801058078018722E-3</v>
      </c>
      <c r="Y74" s="77">
        <f t="shared" si="10"/>
        <v>1.7679089173325789E-3</v>
      </c>
      <c r="Z74" s="86"/>
      <c r="AA74" s="77">
        <v>2.2743895977690304E-3</v>
      </c>
    </row>
    <row r="75" spans="1:27" x14ac:dyDescent="0.2">
      <c r="A75" s="3" t="s">
        <v>18</v>
      </c>
      <c r="B75" s="77">
        <f t="shared" si="11"/>
        <v>0</v>
      </c>
      <c r="C75" s="77">
        <f t="shared" si="11"/>
        <v>0</v>
      </c>
      <c r="D75" s="77">
        <f t="shared" si="11"/>
        <v>0</v>
      </c>
      <c r="E75" s="77">
        <f t="shared" si="11"/>
        <v>0</v>
      </c>
      <c r="F75" s="77">
        <f t="shared" si="11"/>
        <v>0</v>
      </c>
      <c r="G75" s="77">
        <f t="shared" si="11"/>
        <v>0</v>
      </c>
      <c r="H75" s="77">
        <f t="shared" si="11"/>
        <v>0</v>
      </c>
      <c r="I75" s="77">
        <f t="shared" si="11"/>
        <v>5.0005000500050002E-2</v>
      </c>
      <c r="J75" s="77">
        <f t="shared" si="11"/>
        <v>0</v>
      </c>
      <c r="K75" s="77">
        <f t="shared" si="11"/>
        <v>0</v>
      </c>
      <c r="L75" s="77">
        <f t="shared" si="11"/>
        <v>0</v>
      </c>
      <c r="M75" s="77">
        <f t="shared" si="11"/>
        <v>0</v>
      </c>
      <c r="N75" s="77">
        <f t="shared" si="11"/>
        <v>0</v>
      </c>
      <c r="O75" s="77">
        <f t="shared" si="11"/>
        <v>0</v>
      </c>
      <c r="P75" s="77">
        <f t="shared" si="11"/>
        <v>0</v>
      </c>
      <c r="Q75" s="77">
        <f t="shared" si="11"/>
        <v>5.7035496208817017E-2</v>
      </c>
      <c r="R75" s="77">
        <f t="shared" si="10"/>
        <v>0</v>
      </c>
      <c r="S75" s="77">
        <f t="shared" si="10"/>
        <v>0</v>
      </c>
      <c r="T75" s="77">
        <f t="shared" si="10"/>
        <v>0</v>
      </c>
      <c r="U75" s="77">
        <f t="shared" si="10"/>
        <v>0</v>
      </c>
      <c r="V75" s="77">
        <f t="shared" si="10"/>
        <v>0</v>
      </c>
      <c r="W75" s="77">
        <f t="shared" si="10"/>
        <v>0</v>
      </c>
      <c r="X75" s="77">
        <f t="shared" si="10"/>
        <v>1.4534038718679147E-2</v>
      </c>
      <c r="Y75" s="77">
        <f t="shared" si="10"/>
        <v>0</v>
      </c>
      <c r="Z75" s="86"/>
      <c r="AA75" s="77">
        <v>2.9463488292867074E-2</v>
      </c>
    </row>
    <row r="76" spans="1:27" x14ac:dyDescent="0.2">
      <c r="A76" s="3" t="s">
        <v>19</v>
      </c>
      <c r="B76" s="77">
        <f t="shared" si="11"/>
        <v>2.9498754065782222E-2</v>
      </c>
      <c r="C76" s="77">
        <f t="shared" si="11"/>
        <v>1.9431177836184945E-2</v>
      </c>
      <c r="D76" s="77">
        <f t="shared" si="11"/>
        <v>1.2657284768211921</v>
      </c>
      <c r="E76" s="77">
        <f t="shared" si="11"/>
        <v>1.04155672823219</v>
      </c>
      <c r="F76" s="77">
        <f t="shared" si="11"/>
        <v>0.2936630602782071</v>
      </c>
      <c r="G76" s="77">
        <f t="shared" si="11"/>
        <v>0</v>
      </c>
      <c r="H76" s="77">
        <f t="shared" si="11"/>
        <v>0.57645631067961167</v>
      </c>
      <c r="I76" s="77">
        <f t="shared" si="11"/>
        <v>0.19001900190019003</v>
      </c>
      <c r="J76" s="77">
        <f t="shared" si="11"/>
        <v>1.3734527025833908E-2</v>
      </c>
      <c r="K76" s="77">
        <f t="shared" si="11"/>
        <v>1.5159197237069023E-2</v>
      </c>
      <c r="L76" s="77">
        <f t="shared" si="11"/>
        <v>0.30158730158730157</v>
      </c>
      <c r="M76" s="77">
        <f t="shared" si="11"/>
        <v>0.14878621769772904</v>
      </c>
      <c r="N76" s="77">
        <f t="shared" si="11"/>
        <v>0</v>
      </c>
      <c r="O76" s="77">
        <f t="shared" si="11"/>
        <v>0.12667511167411161</v>
      </c>
      <c r="P76" s="77">
        <f t="shared" si="11"/>
        <v>1.8095238095238095</v>
      </c>
      <c r="Q76" s="77">
        <f t="shared" si="11"/>
        <v>6.3745554586324901E-2</v>
      </c>
      <c r="R76" s="77">
        <f t="shared" si="10"/>
        <v>0.10947853644482858</v>
      </c>
      <c r="S76" s="77">
        <f t="shared" si="10"/>
        <v>7.3336421182646286E-2</v>
      </c>
      <c r="T76" s="77">
        <f t="shared" si="10"/>
        <v>0.42952477249747217</v>
      </c>
      <c r="U76" s="77">
        <f t="shared" si="10"/>
        <v>0.13043179789936157</v>
      </c>
      <c r="V76" s="77">
        <f t="shared" si="10"/>
        <v>1.1308980213089803</v>
      </c>
      <c r="W76" s="77">
        <f t="shared" si="10"/>
        <v>0.12667511167411161</v>
      </c>
      <c r="X76" s="77">
        <f t="shared" si="10"/>
        <v>2.761467356549038E-2</v>
      </c>
      <c r="Y76" s="77">
        <f t="shared" si="10"/>
        <v>3.3590269429319003E-2</v>
      </c>
      <c r="Z76" s="86"/>
      <c r="AA76" s="77">
        <v>5.0496439723250831E-2</v>
      </c>
    </row>
    <row r="77" spans="1:27" x14ac:dyDescent="0.2">
      <c r="A77" s="3" t="s">
        <v>28</v>
      </c>
      <c r="B77" s="77">
        <f t="shared" si="11"/>
        <v>0</v>
      </c>
      <c r="C77" s="77">
        <f t="shared" si="11"/>
        <v>0</v>
      </c>
      <c r="D77" s="77">
        <f t="shared" si="11"/>
        <v>0</v>
      </c>
      <c r="E77" s="77">
        <f t="shared" si="11"/>
        <v>0</v>
      </c>
      <c r="F77" s="77">
        <f t="shared" si="11"/>
        <v>0</v>
      </c>
      <c r="G77" s="77">
        <f t="shared" si="11"/>
        <v>0</v>
      </c>
      <c r="H77" s="77">
        <f t="shared" si="11"/>
        <v>0</v>
      </c>
      <c r="I77" s="77">
        <f t="shared" si="11"/>
        <v>0</v>
      </c>
      <c r="J77" s="77">
        <f t="shared" si="11"/>
        <v>0</v>
      </c>
      <c r="K77" s="77">
        <f t="shared" si="11"/>
        <v>0</v>
      </c>
      <c r="L77" s="77">
        <f t="shared" si="11"/>
        <v>0</v>
      </c>
      <c r="M77" s="77">
        <f t="shared" si="11"/>
        <v>0</v>
      </c>
      <c r="N77" s="77">
        <f t="shared" si="11"/>
        <v>0</v>
      </c>
      <c r="O77" s="77">
        <f t="shared" si="11"/>
        <v>0</v>
      </c>
      <c r="P77" s="77">
        <f t="shared" si="11"/>
        <v>0</v>
      </c>
      <c r="Q77" s="77">
        <f t="shared" si="11"/>
        <v>0.25162047909816815</v>
      </c>
      <c r="R77" s="77">
        <f t="shared" si="10"/>
        <v>0</v>
      </c>
      <c r="S77" s="77">
        <f t="shared" si="10"/>
        <v>0</v>
      </c>
      <c r="T77" s="77">
        <f t="shared" si="10"/>
        <v>2.0512639029322548</v>
      </c>
      <c r="U77" s="77">
        <f t="shared" si="10"/>
        <v>6.8648314683874513E-3</v>
      </c>
      <c r="V77" s="77">
        <f t="shared" si="10"/>
        <v>0</v>
      </c>
      <c r="W77" s="77">
        <f t="shared" si="10"/>
        <v>0</v>
      </c>
      <c r="X77" s="77">
        <f t="shared" si="10"/>
        <v>0</v>
      </c>
      <c r="Y77" s="77">
        <f t="shared" si="10"/>
        <v>0</v>
      </c>
      <c r="Z77" s="86"/>
      <c r="AA77" s="77">
        <v>0.40660758390236817</v>
      </c>
    </row>
    <row r="78" spans="1:27" x14ac:dyDescent="0.2">
      <c r="A78" s="3" t="s">
        <v>29</v>
      </c>
      <c r="B78" s="77">
        <f t="shared" si="11"/>
        <v>0</v>
      </c>
      <c r="C78" s="77">
        <f t="shared" si="11"/>
        <v>0</v>
      </c>
      <c r="D78" s="77">
        <f t="shared" si="11"/>
        <v>0.82781456953642385</v>
      </c>
      <c r="E78" s="77">
        <f t="shared" si="11"/>
        <v>1.1213720316622691</v>
      </c>
      <c r="F78" s="77">
        <f t="shared" si="11"/>
        <v>0</v>
      </c>
      <c r="G78" s="77">
        <f t="shared" si="11"/>
        <v>0</v>
      </c>
      <c r="H78" s="77">
        <f t="shared" si="11"/>
        <v>0</v>
      </c>
      <c r="I78" s="77">
        <f t="shared" si="11"/>
        <v>0</v>
      </c>
      <c r="J78" s="77">
        <f t="shared" si="11"/>
        <v>0</v>
      </c>
      <c r="K78" s="77">
        <f t="shared" si="11"/>
        <v>0</v>
      </c>
      <c r="L78" s="77">
        <f t="shared" si="11"/>
        <v>0</v>
      </c>
      <c r="M78" s="77">
        <f t="shared" si="11"/>
        <v>0</v>
      </c>
      <c r="N78" s="77">
        <f t="shared" si="11"/>
        <v>0</v>
      </c>
      <c r="O78" s="77">
        <f t="shared" si="11"/>
        <v>0</v>
      </c>
      <c r="P78" s="77">
        <f t="shared" si="11"/>
        <v>1.1428571428571428</v>
      </c>
      <c r="Q78" s="77">
        <f t="shared" si="11"/>
        <v>0.33550291887539424</v>
      </c>
      <c r="R78" s="77">
        <f t="shared" si="10"/>
        <v>5.7620282339383459E-3</v>
      </c>
      <c r="S78" s="77">
        <f t="shared" si="10"/>
        <v>0</v>
      </c>
      <c r="T78" s="77">
        <f t="shared" si="10"/>
        <v>4.8387259858442873</v>
      </c>
      <c r="U78" s="77">
        <f t="shared" si="10"/>
        <v>0</v>
      </c>
      <c r="V78" s="77">
        <f t="shared" si="10"/>
        <v>0</v>
      </c>
      <c r="W78" s="77">
        <f t="shared" si="10"/>
        <v>0</v>
      </c>
      <c r="X78" s="77">
        <f t="shared" si="10"/>
        <v>0</v>
      </c>
      <c r="Y78" s="77">
        <f t="shared" si="10"/>
        <v>0</v>
      </c>
      <c r="Z78" s="86"/>
      <c r="AA78" s="77">
        <v>1.0169338265515824</v>
      </c>
    </row>
    <row r="79" spans="1:27" x14ac:dyDescent="0.2">
      <c r="A79" s="3" t="s">
        <v>48</v>
      </c>
      <c r="B79" s="77">
        <f t="shared" si="11"/>
        <v>0</v>
      </c>
      <c r="C79" s="77">
        <f t="shared" si="11"/>
        <v>0</v>
      </c>
      <c r="D79" s="77">
        <f t="shared" si="11"/>
        <v>0</v>
      </c>
      <c r="E79" s="77">
        <f t="shared" si="11"/>
        <v>0</v>
      </c>
      <c r="F79" s="77">
        <f t="shared" si="11"/>
        <v>0</v>
      </c>
      <c r="G79" s="77">
        <f t="shared" si="11"/>
        <v>0</v>
      </c>
      <c r="H79" s="77">
        <f t="shared" si="11"/>
        <v>0</v>
      </c>
      <c r="I79" s="77">
        <f t="shared" si="11"/>
        <v>0</v>
      </c>
      <c r="J79" s="77">
        <f t="shared" si="11"/>
        <v>0</v>
      </c>
      <c r="K79" s="77">
        <f t="shared" si="11"/>
        <v>0</v>
      </c>
      <c r="L79" s="77">
        <f t="shared" si="11"/>
        <v>0</v>
      </c>
      <c r="M79" s="77">
        <f t="shared" si="11"/>
        <v>0</v>
      </c>
      <c r="N79" s="77">
        <f t="shared" si="11"/>
        <v>0</v>
      </c>
      <c r="O79" s="77">
        <f t="shared" si="11"/>
        <v>0</v>
      </c>
      <c r="P79" s="77">
        <f t="shared" si="11"/>
        <v>0</v>
      </c>
      <c r="Q79" s="77">
        <f t="shared" si="11"/>
        <v>0</v>
      </c>
      <c r="R79" s="77">
        <f t="shared" si="10"/>
        <v>0</v>
      </c>
      <c r="S79" s="77">
        <f t="shared" si="10"/>
        <v>0</v>
      </c>
      <c r="T79" s="77">
        <f t="shared" si="10"/>
        <v>0</v>
      </c>
      <c r="U79" s="77">
        <f t="shared" si="10"/>
        <v>0</v>
      </c>
      <c r="V79" s="77">
        <f t="shared" si="10"/>
        <v>0</v>
      </c>
      <c r="W79" s="77">
        <f t="shared" si="10"/>
        <v>0</v>
      </c>
      <c r="X79" s="77">
        <f t="shared" si="10"/>
        <v>0</v>
      </c>
      <c r="Y79" s="77">
        <f t="shared" si="10"/>
        <v>0</v>
      </c>
      <c r="Z79" s="86"/>
      <c r="AA79" s="77">
        <v>0</v>
      </c>
    </row>
    <row r="80" spans="1:27" x14ac:dyDescent="0.2">
      <c r="A80" s="3" t="s">
        <v>30</v>
      </c>
      <c r="B80" s="77">
        <f t="shared" si="11"/>
        <v>0</v>
      </c>
      <c r="C80" s="77">
        <f t="shared" si="11"/>
        <v>0</v>
      </c>
      <c r="D80" s="77">
        <f t="shared" si="11"/>
        <v>0</v>
      </c>
      <c r="E80" s="77">
        <f t="shared" si="11"/>
        <v>0</v>
      </c>
      <c r="F80" s="77">
        <f t="shared" si="11"/>
        <v>0</v>
      </c>
      <c r="G80" s="77">
        <f t="shared" si="11"/>
        <v>0</v>
      </c>
      <c r="H80" s="77">
        <f t="shared" si="11"/>
        <v>0</v>
      </c>
      <c r="I80" s="77">
        <f t="shared" si="11"/>
        <v>0</v>
      </c>
      <c r="J80" s="77">
        <f t="shared" si="11"/>
        <v>0</v>
      </c>
      <c r="K80" s="77">
        <f t="shared" si="11"/>
        <v>0</v>
      </c>
      <c r="L80" s="77">
        <f t="shared" si="11"/>
        <v>0</v>
      </c>
      <c r="M80" s="77">
        <f t="shared" si="11"/>
        <v>0</v>
      </c>
      <c r="N80" s="77">
        <f t="shared" si="11"/>
        <v>0</v>
      </c>
      <c r="O80" s="77">
        <f t="shared" si="11"/>
        <v>0</v>
      </c>
      <c r="P80" s="77">
        <f t="shared" si="11"/>
        <v>0</v>
      </c>
      <c r="Q80" s="77">
        <f t="shared" si="11"/>
        <v>0.10124807085821647</v>
      </c>
      <c r="R80" s="77">
        <f t="shared" si="10"/>
        <v>0</v>
      </c>
      <c r="S80" s="77">
        <f t="shared" si="10"/>
        <v>0</v>
      </c>
      <c r="T80" s="77">
        <f t="shared" si="10"/>
        <v>0</v>
      </c>
      <c r="U80" s="77">
        <f t="shared" si="10"/>
        <v>0</v>
      </c>
      <c r="V80" s="77">
        <f t="shared" si="10"/>
        <v>0</v>
      </c>
      <c r="W80" s="77">
        <f t="shared" si="10"/>
        <v>0</v>
      </c>
      <c r="X80" s="77">
        <f t="shared" si="10"/>
        <v>0</v>
      </c>
      <c r="Y80" s="77">
        <f t="shared" si="10"/>
        <v>0</v>
      </c>
      <c r="Z80" s="86"/>
      <c r="AA80" s="77">
        <v>0.10124807085821647</v>
      </c>
    </row>
    <row r="81" spans="1:58" x14ac:dyDescent="0.2">
      <c r="A81" s="3" t="s">
        <v>50</v>
      </c>
      <c r="B81" s="77">
        <f t="shared" si="11"/>
        <v>0</v>
      </c>
      <c r="C81" s="77">
        <f t="shared" si="11"/>
        <v>0</v>
      </c>
      <c r="D81" s="77">
        <f t="shared" si="11"/>
        <v>0</v>
      </c>
      <c r="E81" s="77">
        <f t="shared" si="11"/>
        <v>0</v>
      </c>
      <c r="F81" s="77">
        <f t="shared" si="11"/>
        <v>0</v>
      </c>
      <c r="G81" s="77">
        <f t="shared" si="11"/>
        <v>0</v>
      </c>
      <c r="H81" s="77">
        <f t="shared" si="11"/>
        <v>0</v>
      </c>
      <c r="I81" s="77">
        <f t="shared" si="11"/>
        <v>0</v>
      </c>
      <c r="J81" s="77">
        <f t="shared" si="11"/>
        <v>0</v>
      </c>
      <c r="K81" s="77">
        <f t="shared" si="11"/>
        <v>0</v>
      </c>
      <c r="L81" s="77">
        <f t="shared" si="11"/>
        <v>0</v>
      </c>
      <c r="M81" s="77">
        <f t="shared" si="11"/>
        <v>0</v>
      </c>
      <c r="N81" s="77">
        <f t="shared" si="11"/>
        <v>0</v>
      </c>
      <c r="O81" s="77">
        <f t="shared" si="11"/>
        <v>0</v>
      </c>
      <c r="P81" s="77">
        <f t="shared" si="11"/>
        <v>0</v>
      </c>
      <c r="Q81" s="77">
        <f t="shared" si="11"/>
        <v>0</v>
      </c>
      <c r="R81" s="77">
        <f t="shared" si="10"/>
        <v>0</v>
      </c>
      <c r="S81" s="77">
        <f t="shared" si="10"/>
        <v>0</v>
      </c>
      <c r="T81" s="77">
        <f t="shared" si="10"/>
        <v>0</v>
      </c>
      <c r="U81" s="77">
        <f t="shared" si="10"/>
        <v>0</v>
      </c>
      <c r="V81" s="77">
        <f t="shared" si="10"/>
        <v>0</v>
      </c>
      <c r="W81" s="77">
        <f t="shared" si="10"/>
        <v>0</v>
      </c>
      <c r="X81" s="77">
        <f t="shared" si="10"/>
        <v>0</v>
      </c>
      <c r="Y81" s="77">
        <f t="shared" si="10"/>
        <v>0</v>
      </c>
      <c r="Z81" s="86"/>
      <c r="AA81" s="77">
        <v>0</v>
      </c>
    </row>
    <row r="82" spans="1:58" x14ac:dyDescent="0.2">
      <c r="A82" s="3" t="s">
        <v>49</v>
      </c>
      <c r="B82" s="77">
        <f t="shared" si="11"/>
        <v>0</v>
      </c>
      <c r="C82" s="77">
        <f t="shared" si="11"/>
        <v>0</v>
      </c>
      <c r="D82" s="77">
        <f t="shared" si="11"/>
        <v>0</v>
      </c>
      <c r="E82" s="77">
        <f t="shared" si="11"/>
        <v>0</v>
      </c>
      <c r="F82" s="77">
        <f t="shared" si="11"/>
        <v>0</v>
      </c>
      <c r="G82" s="77">
        <f t="shared" si="11"/>
        <v>0</v>
      </c>
      <c r="H82" s="77">
        <f t="shared" si="11"/>
        <v>0</v>
      </c>
      <c r="I82" s="77">
        <f t="shared" si="11"/>
        <v>0</v>
      </c>
      <c r="J82" s="77">
        <f t="shared" si="11"/>
        <v>0</v>
      </c>
      <c r="K82" s="77">
        <f t="shared" si="11"/>
        <v>0</v>
      </c>
      <c r="L82" s="77">
        <f t="shared" si="11"/>
        <v>0</v>
      </c>
      <c r="M82" s="77">
        <f t="shared" si="11"/>
        <v>0</v>
      </c>
      <c r="N82" s="77">
        <f t="shared" si="11"/>
        <v>0</v>
      </c>
      <c r="O82" s="77">
        <f t="shared" si="11"/>
        <v>0</v>
      </c>
      <c r="P82" s="77">
        <f t="shared" si="11"/>
        <v>0</v>
      </c>
      <c r="Q82" s="77">
        <f t="shared" si="11"/>
        <v>0</v>
      </c>
      <c r="R82" s="77">
        <f t="shared" si="10"/>
        <v>0</v>
      </c>
      <c r="S82" s="77">
        <f t="shared" si="10"/>
        <v>0</v>
      </c>
      <c r="T82" s="77">
        <f t="shared" si="10"/>
        <v>0</v>
      </c>
      <c r="U82" s="77">
        <f t="shared" si="10"/>
        <v>0</v>
      </c>
      <c r="V82" s="77">
        <f t="shared" si="10"/>
        <v>0</v>
      </c>
      <c r="W82" s="77">
        <f t="shared" si="10"/>
        <v>0</v>
      </c>
      <c r="X82" s="77">
        <f t="shared" si="10"/>
        <v>0</v>
      </c>
      <c r="Y82" s="77">
        <f t="shared" si="10"/>
        <v>0</v>
      </c>
      <c r="Z82" s="86"/>
      <c r="AA82" s="77">
        <v>0</v>
      </c>
    </row>
    <row r="83" spans="1:58" s="47" customFormat="1" ht="13.5" thickBot="1" x14ac:dyDescent="0.25">
      <c r="A83" s="10" t="s">
        <v>20</v>
      </c>
      <c r="B83" s="80">
        <f t="shared" si="11"/>
        <v>9.8960557060682047E-3</v>
      </c>
      <c r="C83" s="80">
        <f t="shared" si="11"/>
        <v>0</v>
      </c>
      <c r="D83" s="80">
        <f t="shared" si="11"/>
        <v>10.714735099337748</v>
      </c>
      <c r="E83" s="80">
        <f t="shared" si="11"/>
        <v>11.139182058047494</v>
      </c>
      <c r="F83" s="80">
        <f t="shared" si="11"/>
        <v>0.1301081916537867</v>
      </c>
      <c r="G83" s="80">
        <f t="shared" si="11"/>
        <v>0</v>
      </c>
      <c r="H83" s="80">
        <f t="shared" si="11"/>
        <v>0</v>
      </c>
      <c r="I83" s="80">
        <f t="shared" si="11"/>
        <v>0</v>
      </c>
      <c r="J83" s="80">
        <f t="shared" si="11"/>
        <v>5.986120675954866E-3</v>
      </c>
      <c r="K83" s="80">
        <f t="shared" si="11"/>
        <v>6.6074395608848946E-3</v>
      </c>
      <c r="L83" s="80">
        <f t="shared" si="11"/>
        <v>2.6507936507936508E-2</v>
      </c>
      <c r="M83" s="80">
        <f t="shared" si="11"/>
        <v>7.5724353954581053E-3</v>
      </c>
      <c r="N83" s="80">
        <f t="shared" si="11"/>
        <v>0.17272727272727273</v>
      </c>
      <c r="O83" s="80">
        <f t="shared" si="11"/>
        <v>0</v>
      </c>
      <c r="P83" s="80">
        <f t="shared" si="11"/>
        <v>5.0219047619047616</v>
      </c>
      <c r="Q83" s="80">
        <f t="shared" si="11"/>
        <v>0</v>
      </c>
      <c r="R83" s="80">
        <f t="shared" si="10"/>
        <v>5.7620282339383461E-2</v>
      </c>
      <c r="S83" s="80">
        <f t="shared" si="10"/>
        <v>2.0008105604446502E-2</v>
      </c>
      <c r="T83" s="80">
        <f t="shared" si="10"/>
        <v>1.343923154701719</v>
      </c>
      <c r="U83" s="80">
        <f t="shared" si="10"/>
        <v>0</v>
      </c>
      <c r="V83" s="80">
        <f t="shared" si="10"/>
        <v>0</v>
      </c>
      <c r="W83" s="80">
        <f t="shared" si="10"/>
        <v>0</v>
      </c>
      <c r="X83" s="80">
        <f t="shared" si="10"/>
        <v>9.1651648159990703E-3</v>
      </c>
      <c r="Y83" s="80">
        <f t="shared" si="10"/>
        <v>1.5723781910755959E-2</v>
      </c>
      <c r="Z83" s="212"/>
      <c r="AA83" s="80">
        <v>7.7478163211057938E-2</v>
      </c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</row>
    <row r="84" spans="1:58" ht="15" x14ac:dyDescent="0.25">
      <c r="A84" s="95" t="s">
        <v>54</v>
      </c>
      <c r="B84" s="106" t="s">
        <v>53</v>
      </c>
      <c r="C84" s="106" t="s">
        <v>53</v>
      </c>
      <c r="D84" s="106" t="s">
        <v>53</v>
      </c>
      <c r="E84" s="106" t="s">
        <v>53</v>
      </c>
      <c r="F84" s="106" t="s">
        <v>53</v>
      </c>
      <c r="G84" s="106" t="s">
        <v>53</v>
      </c>
      <c r="H84" s="106" t="s">
        <v>53</v>
      </c>
      <c r="I84" s="106" t="s">
        <v>53</v>
      </c>
      <c r="J84" s="106" t="s">
        <v>53</v>
      </c>
      <c r="K84" s="106" t="s">
        <v>53</v>
      </c>
      <c r="L84" s="106" t="s">
        <v>53</v>
      </c>
      <c r="M84" s="106" t="s">
        <v>53</v>
      </c>
      <c r="N84" s="106" t="s">
        <v>53</v>
      </c>
      <c r="O84" s="106" t="s">
        <v>53</v>
      </c>
      <c r="P84" s="106" t="s">
        <v>53</v>
      </c>
      <c r="Q84" s="106" t="s">
        <v>53</v>
      </c>
      <c r="R84" s="106" t="s">
        <v>53</v>
      </c>
      <c r="S84" s="106" t="s">
        <v>53</v>
      </c>
      <c r="T84" s="106" t="s">
        <v>53</v>
      </c>
      <c r="U84" s="106" t="s">
        <v>53</v>
      </c>
      <c r="V84" s="106" t="s">
        <v>53</v>
      </c>
      <c r="W84" s="106" t="s">
        <v>53</v>
      </c>
      <c r="X84" s="106" t="s">
        <v>53</v>
      </c>
      <c r="Y84" s="106" t="s">
        <v>53</v>
      </c>
      <c r="Z84" s="210"/>
      <c r="AA84" s="106"/>
    </row>
    <row r="85" spans="1:58" x14ac:dyDescent="0.2">
      <c r="A85" s="3" t="s">
        <v>55</v>
      </c>
      <c r="B85" s="82">
        <f t="shared" ref="B85:Y90" si="12">B37/(B$9/1000)</f>
        <v>0.11644245025966667</v>
      </c>
      <c r="C85" s="82">
        <f t="shared" si="12"/>
        <v>9.0201572902711163E-2</v>
      </c>
      <c r="D85" s="82">
        <f t="shared" si="12"/>
        <v>0</v>
      </c>
      <c r="E85" s="82">
        <f t="shared" si="12"/>
        <v>0</v>
      </c>
      <c r="F85" s="82">
        <f t="shared" si="12"/>
        <v>0.33075734157650694</v>
      </c>
      <c r="G85" s="82">
        <f t="shared" si="12"/>
        <v>0</v>
      </c>
      <c r="H85" s="82">
        <f t="shared" si="12"/>
        <v>0.63713592233009708</v>
      </c>
      <c r="I85" s="82">
        <f t="shared" si="12"/>
        <v>0.21002100210021002</v>
      </c>
      <c r="J85" s="82">
        <f t="shared" si="12"/>
        <v>6.2168541376042566E-2</v>
      </c>
      <c r="K85" s="82">
        <f t="shared" si="12"/>
        <v>6.8622992304678887E-2</v>
      </c>
      <c r="L85" s="82">
        <f t="shared" si="12"/>
        <v>0.95238095238095233</v>
      </c>
      <c r="M85" s="82">
        <f t="shared" si="12"/>
        <v>0.45462020360219263</v>
      </c>
      <c r="N85" s="82">
        <f t="shared" si="12"/>
        <v>0.50909090909090904</v>
      </c>
      <c r="O85" s="82">
        <f t="shared" si="12"/>
        <v>0.32002133475565037</v>
      </c>
      <c r="P85" s="82">
        <f t="shared" si="12"/>
        <v>0</v>
      </c>
      <c r="Q85" s="82">
        <f t="shared" si="12"/>
        <v>0.50325437831309128</v>
      </c>
      <c r="R85" s="82">
        <f t="shared" si="12"/>
        <v>0.51426101987899742</v>
      </c>
      <c r="S85" s="82">
        <f t="shared" si="12"/>
        <v>0.25088775667747415</v>
      </c>
      <c r="T85" s="82">
        <f t="shared" si="12"/>
        <v>0</v>
      </c>
      <c r="U85" s="82">
        <f t="shared" si="12"/>
        <v>0.22310702272259217</v>
      </c>
      <c r="V85" s="82">
        <f t="shared" si="12"/>
        <v>1.06544901065449</v>
      </c>
      <c r="W85" s="82">
        <f t="shared" si="12"/>
        <v>0.34668977931862122</v>
      </c>
      <c r="X85" s="82">
        <f t="shared" si="12"/>
        <v>0.1076826928666938</v>
      </c>
      <c r="Y85" s="82">
        <f t="shared" si="12"/>
        <v>0.10768333215472739</v>
      </c>
      <c r="Z85" s="54"/>
      <c r="AA85" s="82">
        <v>0.1443548892175614</v>
      </c>
    </row>
    <row r="86" spans="1:58" x14ac:dyDescent="0.2">
      <c r="A86" s="3" t="s">
        <v>56</v>
      </c>
      <c r="B86" s="77">
        <f t="shared" si="12"/>
        <v>0.11476567897592746</v>
      </c>
      <c r="C86" s="77">
        <f t="shared" si="12"/>
        <v>6.0850267434368638E-2</v>
      </c>
      <c r="D86" s="77">
        <f t="shared" si="12"/>
        <v>3.1043046357615895</v>
      </c>
      <c r="E86" s="77">
        <f t="shared" si="12"/>
        <v>2.9683377308707124</v>
      </c>
      <c r="F86" s="77">
        <f t="shared" si="12"/>
        <v>0.43276661514683151</v>
      </c>
      <c r="G86" s="77">
        <f t="shared" si="12"/>
        <v>6.69904538603249E-2</v>
      </c>
      <c r="H86" s="77">
        <f t="shared" si="12"/>
        <v>0</v>
      </c>
      <c r="I86" s="77">
        <f t="shared" si="12"/>
        <v>0</v>
      </c>
      <c r="J86" s="77">
        <f t="shared" si="12"/>
        <v>6.9874568110516622E-2</v>
      </c>
      <c r="K86" s="77">
        <f t="shared" si="12"/>
        <v>7.7127920642282397E-2</v>
      </c>
      <c r="L86" s="77">
        <f t="shared" si="12"/>
        <v>0</v>
      </c>
      <c r="M86" s="77">
        <f t="shared" si="12"/>
        <v>0.30148786217697732</v>
      </c>
      <c r="N86" s="77">
        <f t="shared" si="12"/>
        <v>0</v>
      </c>
      <c r="O86" s="77">
        <f t="shared" si="12"/>
        <v>0</v>
      </c>
      <c r="P86" s="77">
        <f t="shared" si="12"/>
        <v>0</v>
      </c>
      <c r="Q86" s="77">
        <f t="shared" si="12"/>
        <v>0.3019526269878548</v>
      </c>
      <c r="R86" s="77">
        <f t="shared" si="12"/>
        <v>0</v>
      </c>
      <c r="S86" s="77">
        <f t="shared" si="12"/>
        <v>0.25937934228809634</v>
      </c>
      <c r="T86" s="77">
        <f t="shared" si="12"/>
        <v>1.9211324570273003</v>
      </c>
      <c r="U86" s="77">
        <f t="shared" si="12"/>
        <v>0.23065833733781835</v>
      </c>
      <c r="V86" s="77">
        <f t="shared" si="12"/>
        <v>0.68493150684931503</v>
      </c>
      <c r="W86" s="77">
        <f t="shared" si="12"/>
        <v>0</v>
      </c>
      <c r="X86" s="77">
        <f t="shared" si="12"/>
        <v>9.4442183593977089E-2</v>
      </c>
      <c r="Y86" s="77">
        <f t="shared" si="12"/>
        <v>9.444169436390637E-2</v>
      </c>
      <c r="Z86" s="54"/>
      <c r="AA86" s="77">
        <v>0.13030569672155679</v>
      </c>
    </row>
    <row r="87" spans="1:58" ht="13.5" thickBot="1" x14ac:dyDescent="0.25">
      <c r="A87" s="15" t="s">
        <v>57</v>
      </c>
      <c r="B87" s="77">
        <f t="shared" si="12"/>
        <v>3.1051320069244444E-2</v>
      </c>
      <c r="C87" s="77">
        <f t="shared" si="12"/>
        <v>6.2384307789856923E-2</v>
      </c>
      <c r="D87" s="77">
        <f t="shared" si="12"/>
        <v>0</v>
      </c>
      <c r="E87" s="77">
        <f t="shared" si="12"/>
        <v>0</v>
      </c>
      <c r="F87" s="77">
        <f t="shared" si="12"/>
        <v>0.30911901081916537</v>
      </c>
      <c r="G87" s="77">
        <f t="shared" si="12"/>
        <v>6.69904538603249E-2</v>
      </c>
      <c r="H87" s="77">
        <f t="shared" si="12"/>
        <v>7.584951456310679E-2</v>
      </c>
      <c r="I87" s="77">
        <f t="shared" si="12"/>
        <v>2.5002500250025001E-2</v>
      </c>
      <c r="J87" s="77">
        <f t="shared" si="12"/>
        <v>6.0236737240498432E-2</v>
      </c>
      <c r="K87" s="77">
        <f t="shared" si="12"/>
        <v>6.6489555706650216E-2</v>
      </c>
      <c r="L87" s="77">
        <f t="shared" si="12"/>
        <v>0.63492063492063489</v>
      </c>
      <c r="M87" s="77">
        <f t="shared" si="12"/>
        <v>0.11746280344557557</v>
      </c>
      <c r="N87" s="77">
        <f t="shared" si="12"/>
        <v>0</v>
      </c>
      <c r="O87" s="77">
        <f t="shared" si="12"/>
        <v>0</v>
      </c>
      <c r="P87" s="77">
        <f t="shared" si="12"/>
        <v>0</v>
      </c>
      <c r="Q87" s="77">
        <f t="shared" si="12"/>
        <v>0</v>
      </c>
      <c r="R87" s="77">
        <f t="shared" si="12"/>
        <v>0.51858254105445112</v>
      </c>
      <c r="S87" s="77">
        <f t="shared" si="12"/>
        <v>0.23158869847151459</v>
      </c>
      <c r="T87" s="77">
        <f t="shared" si="12"/>
        <v>0</v>
      </c>
      <c r="U87" s="77">
        <f t="shared" si="12"/>
        <v>0</v>
      </c>
      <c r="V87" s="77">
        <f t="shared" si="12"/>
        <v>0</v>
      </c>
      <c r="W87" s="77">
        <f t="shared" si="12"/>
        <v>0</v>
      </c>
      <c r="X87" s="77">
        <f t="shared" si="12"/>
        <v>9.571827219347713E-2</v>
      </c>
      <c r="Y87" s="77">
        <f t="shared" si="12"/>
        <v>9.5718124602220497E-2</v>
      </c>
      <c r="Z87" s="7"/>
      <c r="AA87" s="77">
        <v>8.2466930450474304E-2</v>
      </c>
    </row>
    <row r="88" spans="1:58" s="43" customFormat="1" ht="13.5" thickBot="1" x14ac:dyDescent="0.25">
      <c r="A88" s="83" t="s">
        <v>39</v>
      </c>
      <c r="B88" s="84">
        <f>B40/(B$9/1000)</f>
        <v>0.69092602799276504</v>
      </c>
      <c r="C88" s="84">
        <f>C40/(C$9/1000)</f>
        <v>0.57712745829966972</v>
      </c>
      <c r="D88" s="84">
        <f t="shared" si="12"/>
        <v>42.037251655629142</v>
      </c>
      <c r="E88" s="84">
        <f t="shared" si="12"/>
        <v>43.845646437994723</v>
      </c>
      <c r="F88" s="84">
        <f t="shared" si="12"/>
        <v>3.5750231839258113</v>
      </c>
      <c r="G88" s="84">
        <f t="shared" si="12"/>
        <v>1.5441634567074192</v>
      </c>
      <c r="H88" s="84">
        <f t="shared" si="12"/>
        <v>4.772754854368932</v>
      </c>
      <c r="I88" s="84">
        <f t="shared" si="12"/>
        <v>3.1113511351135115</v>
      </c>
      <c r="J88" s="84">
        <f t="shared" si="12"/>
        <v>0.63831705838380626</v>
      </c>
      <c r="K88" s="84">
        <f t="shared" si="12"/>
        <v>0.70457711756415398</v>
      </c>
      <c r="L88" s="84">
        <f t="shared" si="12"/>
        <v>5.6175873015873012</v>
      </c>
      <c r="M88" s="84">
        <f t="shared" si="12"/>
        <v>2.4277682067345339</v>
      </c>
      <c r="N88" s="84">
        <f t="shared" si="12"/>
        <v>4.3090909090909095</v>
      </c>
      <c r="O88" s="84">
        <f t="shared" si="12"/>
        <v>2.0156010400693378</v>
      </c>
      <c r="P88" s="84">
        <f t="shared" si="12"/>
        <v>8.7361904761904761</v>
      </c>
      <c r="Q88" s="84">
        <f t="shared" si="12"/>
        <v>4.4972019056565795</v>
      </c>
      <c r="R88" s="84">
        <f t="shared" si="12"/>
        <v>2.5361106309420918</v>
      </c>
      <c r="S88" s="84">
        <f t="shared" si="12"/>
        <v>1.6993559518295507</v>
      </c>
      <c r="T88" s="84">
        <f t="shared" si="12"/>
        <v>17.94685540950455</v>
      </c>
      <c r="U88" s="84">
        <f t="shared" si="12"/>
        <v>2.070289009404819</v>
      </c>
      <c r="V88" s="84">
        <f t="shared" si="12"/>
        <v>6.6251141552511417</v>
      </c>
      <c r="W88" s="84">
        <f t="shared" si="12"/>
        <v>2.3077405160344022</v>
      </c>
      <c r="X88" s="84">
        <f t="shared" si="12"/>
        <v>1.0998691936515319</v>
      </c>
      <c r="Y88" s="84">
        <f t="shared" si="12"/>
        <v>0.78921221978643663</v>
      </c>
      <c r="Z88" s="87"/>
      <c r="AA88" s="84">
        <v>1.3943908933532094</v>
      </c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</row>
    <row r="89" spans="1:58" ht="15.75" thickBot="1" x14ac:dyDescent="0.3">
      <c r="A89" s="100" t="s">
        <v>40</v>
      </c>
      <c r="B89" s="77">
        <f t="shared" si="12"/>
        <v>0</v>
      </c>
      <c r="C89" s="77">
        <f t="shared" si="12"/>
        <v>0</v>
      </c>
      <c r="D89" s="77">
        <f>D41/(D$9/1000)</f>
        <v>0</v>
      </c>
      <c r="E89" s="77">
        <f t="shared" si="12"/>
        <v>0</v>
      </c>
      <c r="F89" s="77">
        <f>F41/(F$9/1000)</f>
        <v>0</v>
      </c>
      <c r="G89" s="77">
        <f t="shared" si="12"/>
        <v>0</v>
      </c>
      <c r="H89" s="77">
        <f>H41/(H$9/1000)</f>
        <v>0</v>
      </c>
      <c r="I89" s="77">
        <f>I41/(I$9/1000)</f>
        <v>0</v>
      </c>
      <c r="J89" s="77">
        <f>J41/(J$9/1000)</f>
        <v>0</v>
      </c>
      <c r="K89" s="77">
        <f t="shared" si="12"/>
        <v>0</v>
      </c>
      <c r="L89" s="77">
        <f>L41/(L$9/1000)</f>
        <v>0</v>
      </c>
      <c r="M89" s="77">
        <f>M41/(M$9/1000)</f>
        <v>0</v>
      </c>
      <c r="N89" s="77">
        <f t="shared" si="12"/>
        <v>0</v>
      </c>
      <c r="O89" s="77">
        <f t="shared" si="12"/>
        <v>0</v>
      </c>
      <c r="P89" s="77">
        <f t="shared" si="12"/>
        <v>0</v>
      </c>
      <c r="Q89" s="77">
        <f t="shared" si="12"/>
        <v>0.10065087566261827</v>
      </c>
      <c r="R89" s="77">
        <f t="shared" si="12"/>
        <v>0</v>
      </c>
      <c r="S89" s="77">
        <f t="shared" si="12"/>
        <v>0</v>
      </c>
      <c r="T89" s="77">
        <f t="shared" si="12"/>
        <v>10.015227502527805</v>
      </c>
      <c r="U89" s="77">
        <f t="shared" si="12"/>
        <v>0</v>
      </c>
      <c r="V89" s="77">
        <f t="shared" si="12"/>
        <v>0</v>
      </c>
      <c r="W89" s="77">
        <f t="shared" si="12"/>
        <v>0</v>
      </c>
      <c r="X89" s="77">
        <f t="shared" si="12"/>
        <v>0</v>
      </c>
      <c r="Y89" s="77">
        <f t="shared" si="12"/>
        <v>0</v>
      </c>
      <c r="Z89" s="86"/>
      <c r="AA89" s="77">
        <v>2.5708031035872634</v>
      </c>
    </row>
    <row r="90" spans="1:58" s="47" customFormat="1" ht="13.5" thickBot="1" x14ac:dyDescent="0.25">
      <c r="A90" s="83" t="s">
        <v>41</v>
      </c>
      <c r="B90" s="84">
        <f t="shared" si="12"/>
        <v>0.69092602799276504</v>
      </c>
      <c r="C90" s="84">
        <f t="shared" si="12"/>
        <v>0.57712745829966972</v>
      </c>
      <c r="D90" s="84">
        <f t="shared" si="12"/>
        <v>42.037251655629142</v>
      </c>
      <c r="E90" s="84">
        <f t="shared" si="12"/>
        <v>43.845646437994723</v>
      </c>
      <c r="F90" s="84">
        <f t="shared" si="12"/>
        <v>3.5750231839258113</v>
      </c>
      <c r="G90" s="84">
        <f t="shared" si="12"/>
        <v>1.5441634567074192</v>
      </c>
      <c r="H90" s="84">
        <f t="shared" si="12"/>
        <v>4.772754854368932</v>
      </c>
      <c r="I90" s="84">
        <f>I42/(I$9/1000)</f>
        <v>3.1113511351135115</v>
      </c>
      <c r="J90" s="84">
        <f>J42/(J$9/1000)</f>
        <v>0.63831705838380626</v>
      </c>
      <c r="K90" s="84">
        <f t="shared" si="12"/>
        <v>0.70457711756415398</v>
      </c>
      <c r="L90" s="84">
        <f>L42/(L$9/1000)</f>
        <v>5.6175873015873012</v>
      </c>
      <c r="M90" s="84">
        <f>M42/(M$9/1000)</f>
        <v>2.4277682067345339</v>
      </c>
      <c r="N90" s="84">
        <f t="shared" si="12"/>
        <v>4.3090909090909095</v>
      </c>
      <c r="O90" s="84">
        <f t="shared" si="12"/>
        <v>2.0156010400693378</v>
      </c>
      <c r="P90" s="84">
        <f t="shared" si="12"/>
        <v>8.7361904761904761</v>
      </c>
      <c r="Q90" s="84">
        <f t="shared" si="12"/>
        <v>4.5978527813191974</v>
      </c>
      <c r="R90" s="84">
        <f t="shared" si="12"/>
        <v>2.5361106309420918</v>
      </c>
      <c r="S90" s="84">
        <f t="shared" si="12"/>
        <v>1.6993559518295507</v>
      </c>
      <c r="T90" s="84">
        <f t="shared" si="12"/>
        <v>27.962082912032354</v>
      </c>
      <c r="U90" s="84">
        <f t="shared" si="12"/>
        <v>2.070289009404819</v>
      </c>
      <c r="V90" s="84">
        <f t="shared" si="12"/>
        <v>6.6251141552511417</v>
      </c>
      <c r="W90" s="84">
        <f t="shared" si="12"/>
        <v>2.3077405160344022</v>
      </c>
      <c r="X90" s="84">
        <f t="shared" si="12"/>
        <v>1.0998691936515319</v>
      </c>
      <c r="Y90" s="84">
        <f t="shared" si="12"/>
        <v>0.78921221978643663</v>
      </c>
      <c r="Z90" s="87"/>
      <c r="AA90" s="84">
        <v>1.4887630011725932</v>
      </c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</row>
    <row r="91" spans="1:58" ht="13.5" thickBot="1" x14ac:dyDescent="0.25">
      <c r="A91" s="33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8"/>
      <c r="AA91" s="77"/>
    </row>
    <row r="92" spans="1:58" x14ac:dyDescent="0.2">
      <c r="A92" s="12" t="s">
        <v>58</v>
      </c>
      <c r="B92" s="105"/>
      <c r="C92" s="105"/>
      <c r="D92" s="105"/>
      <c r="E92" s="105"/>
      <c r="F92" s="105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3"/>
      <c r="AA92" s="105"/>
    </row>
    <row r="93" spans="1:58" x14ac:dyDescent="0.2">
      <c r="A93" s="3" t="s">
        <v>59</v>
      </c>
      <c r="B93" s="77">
        <f t="shared" ref="B93:Y98" si="13">B45/(B$9/1000)</f>
        <v>0</v>
      </c>
      <c r="C93" s="77">
        <f t="shared" si="13"/>
        <v>0</v>
      </c>
      <c r="D93" s="77">
        <f t="shared" si="13"/>
        <v>19.440000000000001</v>
      </c>
      <c r="E93" s="77">
        <f t="shared" si="13"/>
        <v>14.300131926121372</v>
      </c>
      <c r="F93" s="77">
        <f t="shared" si="13"/>
        <v>0.55001545595054091</v>
      </c>
      <c r="G93" s="77">
        <f t="shared" si="13"/>
        <v>0</v>
      </c>
      <c r="H93" s="77">
        <f t="shared" si="13"/>
        <v>0</v>
      </c>
      <c r="I93" s="77">
        <f t="shared" si="13"/>
        <v>0</v>
      </c>
      <c r="J93" s="77">
        <f t="shared" si="13"/>
        <v>0</v>
      </c>
      <c r="K93" s="77">
        <f t="shared" si="13"/>
        <v>0</v>
      </c>
      <c r="L93" s="77">
        <f t="shared" si="13"/>
        <v>1</v>
      </c>
      <c r="M93" s="77">
        <f t="shared" si="13"/>
        <v>0</v>
      </c>
      <c r="N93" s="77">
        <f t="shared" si="13"/>
        <v>1.6653454545454545</v>
      </c>
      <c r="O93" s="77">
        <f t="shared" si="13"/>
        <v>0</v>
      </c>
      <c r="P93" s="77">
        <f t="shared" si="13"/>
        <v>0</v>
      </c>
      <c r="Q93" s="77">
        <f t="shared" si="13"/>
        <v>0.40260350265047307</v>
      </c>
      <c r="R93" s="77">
        <f t="shared" si="13"/>
        <v>1</v>
      </c>
      <c r="S93" s="77">
        <f t="shared" si="13"/>
        <v>0.5</v>
      </c>
      <c r="T93" s="77">
        <f t="shared" si="13"/>
        <v>0</v>
      </c>
      <c r="U93" s="77">
        <f t="shared" si="13"/>
        <v>0</v>
      </c>
      <c r="V93" s="77">
        <f t="shared" si="13"/>
        <v>0</v>
      </c>
      <c r="W93" s="77">
        <f t="shared" si="13"/>
        <v>0</v>
      </c>
      <c r="X93" s="77">
        <f t="shared" si="13"/>
        <v>0</v>
      </c>
      <c r="Y93" s="77">
        <f t="shared" si="13"/>
        <v>0.1767908917332579</v>
      </c>
      <c r="Z93" s="7"/>
      <c r="AA93" s="77">
        <v>0.80478661602413415</v>
      </c>
    </row>
    <row r="94" spans="1:58" x14ac:dyDescent="0.2">
      <c r="A94" s="3" t="s">
        <v>60</v>
      </c>
      <c r="B94" s="77">
        <f t="shared" si="13"/>
        <v>0</v>
      </c>
      <c r="C94" s="77">
        <f t="shared" si="13"/>
        <v>0</v>
      </c>
      <c r="D94" s="77">
        <f t="shared" si="13"/>
        <v>0</v>
      </c>
      <c r="E94" s="77">
        <f t="shared" si="13"/>
        <v>0</v>
      </c>
      <c r="F94" s="77">
        <f t="shared" si="13"/>
        <v>0</v>
      </c>
      <c r="G94" s="77">
        <f t="shared" si="13"/>
        <v>0</v>
      </c>
      <c r="H94" s="77">
        <f t="shared" si="13"/>
        <v>0</v>
      </c>
      <c r="I94" s="77">
        <f t="shared" si="13"/>
        <v>0</v>
      </c>
      <c r="J94" s="77">
        <f t="shared" si="13"/>
        <v>0</v>
      </c>
      <c r="K94" s="77">
        <f t="shared" si="13"/>
        <v>0</v>
      </c>
      <c r="L94" s="77">
        <f t="shared" si="13"/>
        <v>0</v>
      </c>
      <c r="M94" s="77">
        <f t="shared" si="13"/>
        <v>0</v>
      </c>
      <c r="N94" s="77">
        <f t="shared" si="13"/>
        <v>0</v>
      </c>
      <c r="O94" s="77">
        <f t="shared" si="13"/>
        <v>0</v>
      </c>
      <c r="P94" s="77">
        <f t="shared" si="13"/>
        <v>0</v>
      </c>
      <c r="Q94" s="77">
        <f t="shared" si="13"/>
        <v>0</v>
      </c>
      <c r="R94" s="77">
        <f t="shared" si="13"/>
        <v>0</v>
      </c>
      <c r="S94" s="77">
        <f t="shared" si="13"/>
        <v>0</v>
      </c>
      <c r="T94" s="77">
        <f t="shared" si="13"/>
        <v>1.5101718907987867</v>
      </c>
      <c r="U94" s="77">
        <f t="shared" si="13"/>
        <v>0</v>
      </c>
      <c r="V94" s="77">
        <f t="shared" si="13"/>
        <v>0</v>
      </c>
      <c r="W94" s="77">
        <f t="shared" si="13"/>
        <v>0</v>
      </c>
      <c r="X94" s="77">
        <f t="shared" si="13"/>
        <v>0</v>
      </c>
      <c r="Y94" s="77">
        <f t="shared" si="13"/>
        <v>0</v>
      </c>
      <c r="Z94" s="7"/>
      <c r="AA94" s="77">
        <v>1.5101718907987864</v>
      </c>
    </row>
    <row r="95" spans="1:58" x14ac:dyDescent="0.2">
      <c r="A95" s="3" t="s">
        <v>61</v>
      </c>
      <c r="B95" s="77">
        <f t="shared" si="13"/>
        <v>4.9216932284833756</v>
      </c>
      <c r="C95" s="77">
        <f t="shared" si="13"/>
        <v>4.739763348707827</v>
      </c>
      <c r="D95" s="77">
        <f t="shared" si="13"/>
        <v>10</v>
      </c>
      <c r="E95" s="77">
        <f t="shared" si="13"/>
        <v>7.6121372031662267</v>
      </c>
      <c r="F95" s="77">
        <f t="shared" si="13"/>
        <v>4.1687789799072643</v>
      </c>
      <c r="G95" s="77">
        <f t="shared" si="13"/>
        <v>3</v>
      </c>
      <c r="H95" s="77">
        <f t="shared" si="13"/>
        <v>1</v>
      </c>
      <c r="I95" s="77">
        <f t="shared" si="13"/>
        <v>1</v>
      </c>
      <c r="J95" s="77">
        <f t="shared" si="13"/>
        <v>5</v>
      </c>
      <c r="K95" s="77">
        <f t="shared" si="13"/>
        <v>3.9007091943102354</v>
      </c>
      <c r="L95" s="77">
        <f t="shared" si="13"/>
        <v>4.9662857142857142</v>
      </c>
      <c r="M95" s="77">
        <f t="shared" si="13"/>
        <v>4.1419028974158181</v>
      </c>
      <c r="N95" s="77">
        <f t="shared" si="13"/>
        <v>2.4346545454545456</v>
      </c>
      <c r="O95" s="77">
        <f t="shared" si="13"/>
        <v>1</v>
      </c>
      <c r="P95" s="77">
        <f t="shared" si="13"/>
        <v>9.9047619047619051</v>
      </c>
      <c r="Q95" s="77">
        <f t="shared" si="13"/>
        <v>2.4136952291484937</v>
      </c>
      <c r="R95" s="77">
        <f t="shared" si="13"/>
        <v>4.7256554307116101</v>
      </c>
      <c r="S95" s="77">
        <f t="shared" si="13"/>
        <v>4.373344140805929</v>
      </c>
      <c r="T95" s="77">
        <f t="shared" si="13"/>
        <v>7.5008493427704757</v>
      </c>
      <c r="U95" s="77">
        <f t="shared" si="13"/>
        <v>2.4534495778128647</v>
      </c>
      <c r="V95" s="77">
        <f t="shared" si="13"/>
        <v>1.73896499238965</v>
      </c>
      <c r="W95" s="77">
        <f t="shared" si="13"/>
        <v>1</v>
      </c>
      <c r="X95" s="77">
        <f t="shared" si="13"/>
        <v>3.7605720597639674</v>
      </c>
      <c r="Y95" s="77">
        <f t="shared" si="13"/>
        <v>3.9175694788204511</v>
      </c>
      <c r="Z95" s="7"/>
      <c r="AA95" s="77">
        <v>4.1890781919871571</v>
      </c>
    </row>
    <row r="96" spans="1:58" x14ac:dyDescent="0.2">
      <c r="A96" s="3" t="s">
        <v>62</v>
      </c>
      <c r="B96" s="77">
        <f t="shared" si="13"/>
        <v>0</v>
      </c>
      <c r="C96" s="77">
        <f t="shared" si="13"/>
        <v>0</v>
      </c>
      <c r="D96" s="77">
        <f t="shared" si="13"/>
        <v>0</v>
      </c>
      <c r="E96" s="77">
        <f t="shared" si="13"/>
        <v>0</v>
      </c>
      <c r="F96" s="77">
        <f t="shared" si="13"/>
        <v>0</v>
      </c>
      <c r="G96" s="77">
        <f t="shared" si="13"/>
        <v>0</v>
      </c>
      <c r="H96" s="77">
        <f t="shared" si="13"/>
        <v>0</v>
      </c>
      <c r="I96" s="77">
        <f t="shared" si="13"/>
        <v>0</v>
      </c>
      <c r="J96" s="77">
        <f t="shared" si="13"/>
        <v>0.18835384624440088</v>
      </c>
      <c r="K96" s="77">
        <f t="shared" si="13"/>
        <v>0</v>
      </c>
      <c r="L96" s="77">
        <f t="shared" si="13"/>
        <v>0</v>
      </c>
      <c r="M96" s="77">
        <f t="shared" si="13"/>
        <v>0</v>
      </c>
      <c r="N96" s="77">
        <f t="shared" si="13"/>
        <v>0</v>
      </c>
      <c r="O96" s="77">
        <f t="shared" si="13"/>
        <v>0</v>
      </c>
      <c r="P96" s="77">
        <f t="shared" si="13"/>
        <v>0</v>
      </c>
      <c r="Q96" s="77">
        <f t="shared" si="13"/>
        <v>0.20130175132523653</v>
      </c>
      <c r="R96" s="77">
        <f t="shared" si="13"/>
        <v>0</v>
      </c>
      <c r="S96" s="77">
        <f t="shared" si="13"/>
        <v>0</v>
      </c>
      <c r="T96" s="77">
        <f t="shared" si="13"/>
        <v>6.2507178968655204</v>
      </c>
      <c r="U96" s="77">
        <f t="shared" si="13"/>
        <v>0</v>
      </c>
      <c r="V96" s="77">
        <f t="shared" si="13"/>
        <v>0</v>
      </c>
      <c r="W96" s="77">
        <f t="shared" si="13"/>
        <v>0</v>
      </c>
      <c r="X96" s="77">
        <f t="shared" si="13"/>
        <v>0</v>
      </c>
      <c r="Y96" s="77">
        <f t="shared" si="13"/>
        <v>0</v>
      </c>
      <c r="Z96" s="7"/>
      <c r="AA96" s="77">
        <v>0.47626354436540086</v>
      </c>
    </row>
    <row r="97" spans="1:58" x14ac:dyDescent="0.2">
      <c r="A97" s="3" t="s">
        <v>63</v>
      </c>
      <c r="B97" s="77">
        <f t="shared" si="13"/>
        <v>0.10432001490463363</v>
      </c>
      <c r="C97" s="77">
        <f t="shared" si="13"/>
        <v>0.16941839416655588</v>
      </c>
      <c r="D97" s="77">
        <f t="shared" si="13"/>
        <v>0.55993377483443707</v>
      </c>
      <c r="E97" s="77">
        <f t="shared" si="13"/>
        <v>0.58786279683377307</v>
      </c>
      <c r="F97" s="77">
        <f t="shared" si="13"/>
        <v>0.49125193199381761</v>
      </c>
      <c r="G97" s="77">
        <f t="shared" si="13"/>
        <v>6.6508122592530569E-2</v>
      </c>
      <c r="H97" s="77">
        <f t="shared" si="13"/>
        <v>0.11444174757281553</v>
      </c>
      <c r="I97" s="77">
        <f t="shared" si="13"/>
        <v>5.6345634563456343E-2</v>
      </c>
      <c r="J97" s="77">
        <f t="shared" si="13"/>
        <v>0.11257589188489225</v>
      </c>
      <c r="K97" s="77">
        <f t="shared" si="13"/>
        <v>0.13774104276329122</v>
      </c>
      <c r="L97" s="77">
        <f t="shared" si="13"/>
        <v>0.37028571428571427</v>
      </c>
      <c r="M97" s="77">
        <f t="shared" si="13"/>
        <v>0.3004933437744714</v>
      </c>
      <c r="N97" s="77">
        <f t="shared" si="13"/>
        <v>0.22727272727272727</v>
      </c>
      <c r="O97" s="77">
        <f t="shared" si="13"/>
        <v>0.14138275885059004</v>
      </c>
      <c r="P97" s="77">
        <f t="shared" si="13"/>
        <v>0</v>
      </c>
      <c r="Q97" s="77">
        <f t="shared" si="13"/>
        <v>1.0594376971079649</v>
      </c>
      <c r="R97" s="77">
        <f t="shared" si="13"/>
        <v>0.23964206280610778</v>
      </c>
      <c r="S97" s="77">
        <f t="shared" si="13"/>
        <v>0.28853635942566003</v>
      </c>
      <c r="T97" s="77">
        <f t="shared" si="13"/>
        <v>0.40004044489383217</v>
      </c>
      <c r="U97" s="77">
        <f t="shared" si="13"/>
        <v>0.25106061646186584</v>
      </c>
      <c r="V97" s="77">
        <f t="shared" si="13"/>
        <v>0.23926940639269406</v>
      </c>
      <c r="W97" s="77">
        <f t="shared" si="13"/>
        <v>2.0081338755917062E-2</v>
      </c>
      <c r="X97" s="77">
        <f t="shared" si="13"/>
        <v>0.13907912330678449</v>
      </c>
      <c r="Y97" s="77">
        <f t="shared" si="13"/>
        <v>0.33600169719256062</v>
      </c>
      <c r="Z97" s="7"/>
      <c r="AA97" s="77">
        <v>0.18722277782200361</v>
      </c>
    </row>
    <row r="98" spans="1:58" ht="13.5" thickBot="1" x14ac:dyDescent="0.25">
      <c r="A98" s="3" t="s">
        <v>22</v>
      </c>
      <c r="B98" s="77">
        <f t="shared" si="13"/>
        <v>0.11644245025966667</v>
      </c>
      <c r="C98" s="77">
        <f t="shared" si="13"/>
        <v>0.13295016414231803</v>
      </c>
      <c r="D98" s="77">
        <f t="shared" si="13"/>
        <v>7.4503311258278142</v>
      </c>
      <c r="E98" s="77">
        <f t="shared" si="13"/>
        <v>9.8944591029023741</v>
      </c>
      <c r="F98" s="77">
        <f t="shared" si="13"/>
        <v>0.92735703245749612</v>
      </c>
      <c r="G98" s="77">
        <f t="shared" si="13"/>
        <v>0.66990453860324906</v>
      </c>
      <c r="H98" s="77">
        <f t="shared" si="13"/>
        <v>1.516990291262136</v>
      </c>
      <c r="I98" s="77">
        <f t="shared" si="13"/>
        <v>0.60006000600060005</v>
      </c>
      <c r="J98" s="77">
        <f t="shared" si="13"/>
        <v>4.0961923092770157E-2</v>
      </c>
      <c r="K98" s="77">
        <f t="shared" si="13"/>
        <v>4.0709356411791985E-2</v>
      </c>
      <c r="L98" s="77">
        <f t="shared" si="13"/>
        <v>1.3777777777777778</v>
      </c>
      <c r="M98" s="77">
        <f t="shared" si="13"/>
        <v>0</v>
      </c>
      <c r="N98" s="77">
        <f t="shared" si="13"/>
        <v>0</v>
      </c>
      <c r="O98" s="77">
        <f t="shared" si="13"/>
        <v>0.33335555703713582</v>
      </c>
      <c r="P98" s="77">
        <f t="shared" si="13"/>
        <v>0</v>
      </c>
      <c r="Q98" s="77">
        <f t="shared" si="13"/>
        <v>0.33550291887539424</v>
      </c>
      <c r="R98" s="77">
        <f t="shared" si="13"/>
        <v>0.65762028233938341</v>
      </c>
      <c r="S98" s="77">
        <f t="shared" si="13"/>
        <v>0.23158869847151459</v>
      </c>
      <c r="T98" s="77">
        <f t="shared" si="13"/>
        <v>1.7249747219413549</v>
      </c>
      <c r="U98" s="77">
        <f t="shared" si="13"/>
        <v>6.8648314683874515E-2</v>
      </c>
      <c r="V98" s="77">
        <f t="shared" si="13"/>
        <v>0.76103500761035003</v>
      </c>
      <c r="W98" s="77">
        <f t="shared" si="13"/>
        <v>0.40002666844456297</v>
      </c>
      <c r="X98" s="77">
        <f t="shared" si="13"/>
        <v>0.17440846462414974</v>
      </c>
      <c r="Y98" s="77">
        <f t="shared" si="13"/>
        <v>0.22982815925323527</v>
      </c>
      <c r="Z98" s="7"/>
      <c r="AA98" s="77">
        <v>0.20133956201246631</v>
      </c>
    </row>
    <row r="99" spans="1:58" s="43" customFormat="1" ht="13.5" thickBot="1" x14ac:dyDescent="0.25">
      <c r="A99" s="83" t="s">
        <v>42</v>
      </c>
      <c r="B99" s="84">
        <f t="shared" ref="B99:W99" si="14">SUM(B93:B98)</f>
        <v>5.1424556936476762</v>
      </c>
      <c r="C99" s="84">
        <f t="shared" si="14"/>
        <v>5.0421319070167003</v>
      </c>
      <c r="D99" s="84">
        <f t="shared" si="14"/>
        <v>37.450264900662255</v>
      </c>
      <c r="E99" s="84">
        <f t="shared" si="14"/>
        <v>32.394591029023744</v>
      </c>
      <c r="F99" s="84">
        <f>SUM(F93:F98)</f>
        <v>6.1374034003091182</v>
      </c>
      <c r="G99" s="84">
        <f>SUM(G93:G98)</f>
        <v>3.7364126611957795</v>
      </c>
      <c r="H99" s="84">
        <f t="shared" si="14"/>
        <v>2.6314320388349515</v>
      </c>
      <c r="I99" s="84">
        <f t="shared" si="14"/>
        <v>1.6564056405640564</v>
      </c>
      <c r="J99" s="84">
        <f t="shared" si="14"/>
        <v>5.3418916612220633</v>
      </c>
      <c r="K99" s="84">
        <f t="shared" si="14"/>
        <v>4.0791595934853184</v>
      </c>
      <c r="L99" s="84">
        <f t="shared" si="14"/>
        <v>7.7143492063492065</v>
      </c>
      <c r="M99" s="84">
        <f t="shared" si="14"/>
        <v>4.4423962411902895</v>
      </c>
      <c r="N99" s="84">
        <f t="shared" si="14"/>
        <v>4.3272727272727272</v>
      </c>
      <c r="O99" s="84">
        <f t="shared" si="14"/>
        <v>1.4747383158877259</v>
      </c>
      <c r="P99" s="84">
        <f t="shared" si="14"/>
        <v>9.9047619047619051</v>
      </c>
      <c r="Q99" s="84">
        <f t="shared" si="14"/>
        <v>4.4125410991075631</v>
      </c>
      <c r="R99" s="84">
        <f t="shared" si="14"/>
        <v>6.6229177758571014</v>
      </c>
      <c r="S99" s="84">
        <f t="shared" si="14"/>
        <v>5.3934691987031043</v>
      </c>
      <c r="T99" s="84">
        <f t="shared" si="14"/>
        <v>17.38675429726997</v>
      </c>
      <c r="U99" s="84">
        <f t="shared" si="14"/>
        <v>2.7731585089586051</v>
      </c>
      <c r="V99" s="84">
        <f t="shared" si="14"/>
        <v>2.7392694063926939</v>
      </c>
      <c r="W99" s="84">
        <f t="shared" si="14"/>
        <v>1.4201080072004801</v>
      </c>
      <c r="X99" s="84">
        <f>SUM(X93:X98)</f>
        <v>4.0740596476949014</v>
      </c>
      <c r="Y99" s="84">
        <f>SUM(Y93:Y98)</f>
        <v>4.6601902269995046</v>
      </c>
      <c r="Z99" s="87"/>
      <c r="AA99" s="84">
        <v>4.7927754743083737</v>
      </c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</row>
    <row r="100" spans="1:58" ht="13.5" thickBot="1" x14ac:dyDescent="0.25">
      <c r="A100" s="17" t="s">
        <v>32</v>
      </c>
      <c r="B100" s="88"/>
      <c r="C100" s="88"/>
      <c r="D100" s="88"/>
      <c r="E100" s="88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90"/>
      <c r="AA100" s="88"/>
    </row>
    <row r="101" spans="1:58" s="47" customFormat="1" ht="13.5" thickBot="1" x14ac:dyDescent="0.25">
      <c r="A101" s="83" t="s">
        <v>43</v>
      </c>
      <c r="B101" s="84">
        <f t="shared" ref="B101:H101" si="15">B53/(B$9/1000)</f>
        <v>0</v>
      </c>
      <c r="C101" s="84">
        <f t="shared" si="15"/>
        <v>0</v>
      </c>
      <c r="D101" s="84">
        <f t="shared" si="15"/>
        <v>0</v>
      </c>
      <c r="E101" s="84">
        <f t="shared" si="15"/>
        <v>0</v>
      </c>
      <c r="F101" s="84">
        <f t="shared" si="15"/>
        <v>0</v>
      </c>
      <c r="G101" s="84">
        <f>G53/(G$9/1000)</f>
        <v>0</v>
      </c>
      <c r="H101" s="84">
        <f t="shared" si="15"/>
        <v>0</v>
      </c>
      <c r="I101" s="84">
        <f>I53/(I$9/1000)</f>
        <v>0</v>
      </c>
      <c r="J101" s="84">
        <f>J53/(J$9/1000)</f>
        <v>0</v>
      </c>
      <c r="K101" s="84">
        <f>K53/(K$9/1000)</f>
        <v>0</v>
      </c>
      <c r="L101" s="84">
        <f>L53/(L$9/1000)</f>
        <v>0</v>
      </c>
      <c r="M101" s="84">
        <f>M53/(M$9/1000)</f>
        <v>0</v>
      </c>
      <c r="N101" s="84">
        <f t="shared" ref="N101:Y101" si="16">N53/(N$9/1000)</f>
        <v>0</v>
      </c>
      <c r="O101" s="84">
        <f t="shared" si="16"/>
        <v>0</v>
      </c>
      <c r="P101" s="84">
        <f t="shared" si="16"/>
        <v>0</v>
      </c>
      <c r="Q101" s="84">
        <f t="shared" si="16"/>
        <v>0</v>
      </c>
      <c r="R101" s="84">
        <f t="shared" si="16"/>
        <v>0</v>
      </c>
      <c r="S101" s="84">
        <f t="shared" si="16"/>
        <v>0</v>
      </c>
      <c r="T101" s="84">
        <f t="shared" si="16"/>
        <v>0</v>
      </c>
      <c r="U101" s="84">
        <f t="shared" si="16"/>
        <v>0</v>
      </c>
      <c r="V101" s="84">
        <f t="shared" si="16"/>
        <v>0</v>
      </c>
      <c r="W101" s="84">
        <f t="shared" si="16"/>
        <v>0</v>
      </c>
      <c r="X101" s="84">
        <f t="shared" si="16"/>
        <v>0</v>
      </c>
      <c r="Y101" s="84">
        <f t="shared" si="16"/>
        <v>0</v>
      </c>
      <c r="Z101" s="87"/>
      <c r="AA101" s="84">
        <v>0</v>
      </c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</row>
    <row r="102" spans="1:58" ht="13.5" thickBot="1" x14ac:dyDescent="0.25">
      <c r="A102" s="101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8"/>
      <c r="AA102" s="77"/>
    </row>
    <row r="103" spans="1:58" ht="13.5" thickBot="1" x14ac:dyDescent="0.25">
      <c r="A103" s="83" t="s">
        <v>21</v>
      </c>
      <c r="B103" s="84">
        <f>B55/(B$9/1000)</f>
        <v>0</v>
      </c>
      <c r="C103" s="84">
        <f t="shared" ref="C103:W103" si="17">C55/(C$9/1000)</f>
        <v>0</v>
      </c>
      <c r="D103" s="84">
        <f t="shared" si="17"/>
        <v>0</v>
      </c>
      <c r="E103" s="84">
        <f t="shared" si="17"/>
        <v>0</v>
      </c>
      <c r="F103" s="84">
        <f t="shared" si="17"/>
        <v>0</v>
      </c>
      <c r="G103" s="84">
        <f>G55/(G$9/1000)</f>
        <v>0</v>
      </c>
      <c r="H103" s="84">
        <f t="shared" si="17"/>
        <v>0</v>
      </c>
      <c r="I103" s="84">
        <f t="shared" si="17"/>
        <v>0</v>
      </c>
      <c r="J103" s="84">
        <f t="shared" si="17"/>
        <v>0</v>
      </c>
      <c r="K103" s="84">
        <f t="shared" si="17"/>
        <v>0</v>
      </c>
      <c r="L103" s="84">
        <f t="shared" si="17"/>
        <v>0</v>
      </c>
      <c r="M103" s="84">
        <f t="shared" si="17"/>
        <v>0</v>
      </c>
      <c r="N103" s="84">
        <f t="shared" si="17"/>
        <v>0</v>
      </c>
      <c r="O103" s="84">
        <f t="shared" si="17"/>
        <v>0</v>
      </c>
      <c r="P103" s="84">
        <f t="shared" si="17"/>
        <v>0</v>
      </c>
      <c r="Q103" s="84">
        <f t="shared" si="17"/>
        <v>0</v>
      </c>
      <c r="R103" s="84">
        <f t="shared" si="17"/>
        <v>0</v>
      </c>
      <c r="S103" s="84">
        <f t="shared" si="17"/>
        <v>0</v>
      </c>
      <c r="T103" s="84">
        <f t="shared" si="17"/>
        <v>0</v>
      </c>
      <c r="U103" s="84">
        <f t="shared" si="17"/>
        <v>0</v>
      </c>
      <c r="V103" s="84">
        <f t="shared" si="17"/>
        <v>0</v>
      </c>
      <c r="W103" s="84">
        <f t="shared" si="17"/>
        <v>0</v>
      </c>
      <c r="X103" s="84">
        <f>X55/(X$9/1000)</f>
        <v>0</v>
      </c>
      <c r="Y103" s="84">
        <f>Y55/(Y$9/1000)</f>
        <v>0</v>
      </c>
      <c r="Z103" s="102"/>
      <c r="AA103" s="84">
        <v>0</v>
      </c>
    </row>
    <row r="104" spans="1:58" ht="13.5" thickBot="1" x14ac:dyDescent="0.25">
      <c r="A104" s="25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8"/>
      <c r="AA104" s="77"/>
    </row>
    <row r="105" spans="1:58" s="43" customFormat="1" x14ac:dyDescent="0.2">
      <c r="A105" s="62" t="s">
        <v>46</v>
      </c>
      <c r="B105" s="88">
        <f>B57/(B$9/1000)</f>
        <v>5.8333817216404409</v>
      </c>
      <c r="C105" s="88">
        <f t="shared" ref="B105:K106" si="18">C57/(C$9/1000)</f>
        <v>5.6192593653163705</v>
      </c>
      <c r="D105" s="88">
        <f t="shared" si="18"/>
        <v>79.487516556291382</v>
      </c>
      <c r="E105" s="88">
        <f t="shared" si="18"/>
        <v>76.240237467018474</v>
      </c>
      <c r="F105" s="88">
        <f t="shared" si="18"/>
        <v>9.7124265842349313</v>
      </c>
      <c r="G105" s="88">
        <f>G57/(G$9/1000)</f>
        <v>5.2805761179031991</v>
      </c>
      <c r="H105" s="88">
        <f t="shared" si="18"/>
        <v>7.4041868932038835</v>
      </c>
      <c r="I105" s="88">
        <f t="shared" si="18"/>
        <v>4.7677567756775678</v>
      </c>
      <c r="J105" s="88">
        <f t="shared" si="18"/>
        <v>5.9802087196058693</v>
      </c>
      <c r="K105" s="88">
        <f t="shared" si="18"/>
        <v>4.7837367110494728</v>
      </c>
      <c r="L105" s="88">
        <f>L57/(L$9/1000)</f>
        <v>13.331936507936508</v>
      </c>
      <c r="M105" s="88">
        <f>M57/(M$9/1000)</f>
        <v>6.8701644479248234</v>
      </c>
      <c r="N105" s="88">
        <f t="shared" ref="N105:W106" si="19">N57/(N$9/1000)</f>
        <v>8.6363636363636367</v>
      </c>
      <c r="O105" s="88">
        <f t="shared" si="19"/>
        <v>3.4903393559570639</v>
      </c>
      <c r="P105" s="88">
        <f t="shared" si="19"/>
        <v>18.640952380952381</v>
      </c>
      <c r="Q105" s="88">
        <f t="shared" si="19"/>
        <v>8.9097430047641417</v>
      </c>
      <c r="R105" s="88">
        <f t="shared" si="19"/>
        <v>9.1590284067991927</v>
      </c>
      <c r="S105" s="88">
        <f t="shared" si="19"/>
        <v>7.0928251505326543</v>
      </c>
      <c r="T105" s="88">
        <f t="shared" si="19"/>
        <v>35.333609706774517</v>
      </c>
      <c r="U105" s="88">
        <f t="shared" si="19"/>
        <v>4.8434475183634245</v>
      </c>
      <c r="V105" s="88">
        <f t="shared" si="19"/>
        <v>9.3643835616438356</v>
      </c>
      <c r="W105" s="88">
        <f t="shared" si="19"/>
        <v>3.7278485232348824</v>
      </c>
      <c r="X105" s="88">
        <f>X57/(X$9/1000)</f>
        <v>5.1739288413464335</v>
      </c>
      <c r="Y105" s="88">
        <f>Y57/(Y$9/1000)</f>
        <v>5.4494024467859417</v>
      </c>
      <c r="Z105" s="90"/>
      <c r="AA105" s="88">
        <v>6.1871663676615833</v>
      </c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</row>
    <row r="106" spans="1:58" s="47" customFormat="1" ht="13.5" thickBot="1" x14ac:dyDescent="0.25">
      <c r="A106" s="65" t="s">
        <v>44</v>
      </c>
      <c r="B106" s="80">
        <f t="shared" si="18"/>
        <v>5.8333817216404409</v>
      </c>
      <c r="C106" s="80">
        <f t="shared" si="18"/>
        <v>5.6192593653163705</v>
      </c>
      <c r="D106" s="80">
        <f t="shared" si="18"/>
        <v>79.487516556291382</v>
      </c>
      <c r="E106" s="80">
        <f t="shared" si="18"/>
        <v>76.240237467018474</v>
      </c>
      <c r="F106" s="80">
        <f t="shared" si="18"/>
        <v>9.7124265842349313</v>
      </c>
      <c r="G106" s="80">
        <f>G58/(G$9/1000)</f>
        <v>5.2805761179031991</v>
      </c>
      <c r="H106" s="80">
        <f t="shared" si="18"/>
        <v>7.4041868932038835</v>
      </c>
      <c r="I106" s="80">
        <f t="shared" si="18"/>
        <v>4.7677567756775678</v>
      </c>
      <c r="J106" s="80">
        <f t="shared" si="18"/>
        <v>5.9802087196058693</v>
      </c>
      <c r="K106" s="80">
        <f t="shared" si="18"/>
        <v>4.7837367110494728</v>
      </c>
      <c r="L106" s="80">
        <f>L58/(L$9/1000)</f>
        <v>13.331936507936508</v>
      </c>
      <c r="M106" s="80">
        <f>M58/(M$9/1000)</f>
        <v>6.8701644479248234</v>
      </c>
      <c r="N106" s="80">
        <f t="shared" si="19"/>
        <v>8.6363636363636367</v>
      </c>
      <c r="O106" s="80">
        <f t="shared" si="19"/>
        <v>3.4903393559570639</v>
      </c>
      <c r="P106" s="80">
        <f t="shared" si="19"/>
        <v>18.640952380952381</v>
      </c>
      <c r="Q106" s="80">
        <f t="shared" si="19"/>
        <v>9.0103938804267596</v>
      </c>
      <c r="R106" s="80">
        <f t="shared" si="19"/>
        <v>9.1590284067991927</v>
      </c>
      <c r="S106" s="80">
        <f t="shared" si="19"/>
        <v>7.0928251505326543</v>
      </c>
      <c r="T106" s="80">
        <f t="shared" si="19"/>
        <v>45.348837209302324</v>
      </c>
      <c r="U106" s="80">
        <f t="shared" si="19"/>
        <v>4.8434475183634245</v>
      </c>
      <c r="V106" s="80">
        <f t="shared" si="19"/>
        <v>9.3643835616438356</v>
      </c>
      <c r="W106" s="80">
        <f t="shared" si="19"/>
        <v>3.7278485232348824</v>
      </c>
      <c r="X106" s="80">
        <f>X58/(X$9/1000)</f>
        <v>5.1739288413464335</v>
      </c>
      <c r="Y106" s="80">
        <f>Y58/(Y$9/1000)</f>
        <v>5.4494024467859417</v>
      </c>
      <c r="Z106" s="212"/>
      <c r="AA106" s="80">
        <v>6.2815384754809669</v>
      </c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</row>
    <row r="107" spans="1:58" x14ac:dyDescent="0.2">
      <c r="A107" s="25"/>
      <c r="Z107" s="9"/>
      <c r="AA107" s="31"/>
    </row>
    <row r="108" spans="1:58" s="76" customFormat="1" x14ac:dyDescent="0.2">
      <c r="A108" s="91" t="s">
        <v>24</v>
      </c>
      <c r="B108" s="129"/>
      <c r="C108" s="129"/>
      <c r="D108" s="129"/>
      <c r="E108" s="129">
        <v>1205438</v>
      </c>
      <c r="F108" s="140"/>
      <c r="G108" s="140"/>
      <c r="H108" s="140">
        <v>356167</v>
      </c>
      <c r="I108" s="140">
        <v>6897601</v>
      </c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>
        <v>7372237</v>
      </c>
      <c r="X108" s="140"/>
      <c r="Y108" s="140"/>
      <c r="Z108" s="130"/>
      <c r="AA108" s="129">
        <f>SUM(B108:Y108)</f>
        <v>15831443</v>
      </c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</row>
    <row r="109" spans="1:58" s="94" customFormat="1" x14ac:dyDescent="0.2">
      <c r="A109" s="93" t="s">
        <v>25</v>
      </c>
      <c r="B109" s="128"/>
      <c r="C109" s="128"/>
      <c r="D109" s="128"/>
      <c r="E109" s="128">
        <v>2393162</v>
      </c>
      <c r="F109" s="141"/>
      <c r="G109" s="141"/>
      <c r="H109" s="141">
        <v>1207591</v>
      </c>
      <c r="I109" s="141">
        <v>14375648</v>
      </c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>
        <v>10367931</v>
      </c>
      <c r="X109" s="141"/>
      <c r="Y109" s="141"/>
      <c r="Z109" s="131"/>
      <c r="AA109" s="128">
        <f>SUM(B109:Y109)</f>
        <v>28344332</v>
      </c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</row>
    <row r="110" spans="1:58" x14ac:dyDescent="0.2">
      <c r="Z110" s="22"/>
    </row>
    <row r="111" spans="1:58" x14ac:dyDescent="0.2">
      <c r="Z111" s="22"/>
    </row>
    <row r="112" spans="1:58" x14ac:dyDescent="0.2">
      <c r="Z112" s="22"/>
    </row>
    <row r="113" spans="26:26" x14ac:dyDescent="0.2">
      <c r="Z113" s="22"/>
    </row>
    <row r="114" spans="26:26" x14ac:dyDescent="0.2">
      <c r="Z114" s="22"/>
    </row>
    <row r="115" spans="26:26" x14ac:dyDescent="0.2">
      <c r="Z115" s="22"/>
    </row>
    <row r="116" spans="26:26" x14ac:dyDescent="0.2">
      <c r="Z116" s="22"/>
    </row>
    <row r="117" spans="26:26" x14ac:dyDescent="0.2">
      <c r="Z117" s="22"/>
    </row>
    <row r="118" spans="26:26" x14ac:dyDescent="0.2">
      <c r="Z118" s="22"/>
    </row>
    <row r="119" spans="26:26" x14ac:dyDescent="0.2">
      <c r="Z119" s="22"/>
    </row>
    <row r="120" spans="26:26" x14ac:dyDescent="0.2">
      <c r="Z120" s="22"/>
    </row>
    <row r="121" spans="26:26" x14ac:dyDescent="0.2">
      <c r="Z121" s="22"/>
    </row>
    <row r="122" spans="26:26" x14ac:dyDescent="0.2">
      <c r="Z122" s="22"/>
    </row>
    <row r="123" spans="26:26" x14ac:dyDescent="0.2">
      <c r="Z123" s="22"/>
    </row>
    <row r="124" spans="26:26" x14ac:dyDescent="0.2">
      <c r="Z124" s="22"/>
    </row>
    <row r="125" spans="26:26" x14ac:dyDescent="0.2">
      <c r="Z125" s="22"/>
    </row>
    <row r="126" spans="26:26" x14ac:dyDescent="0.2">
      <c r="Z126" s="22"/>
    </row>
    <row r="127" spans="26:26" x14ac:dyDescent="0.2">
      <c r="Z127" s="22"/>
    </row>
    <row r="128" spans="26:26" x14ac:dyDescent="0.2">
      <c r="Z128" s="22"/>
    </row>
    <row r="129" spans="26:26" x14ac:dyDescent="0.2">
      <c r="Z129" s="22"/>
    </row>
    <row r="130" spans="26:26" x14ac:dyDescent="0.2">
      <c r="Z130" s="22"/>
    </row>
    <row r="131" spans="26:26" x14ac:dyDescent="0.2">
      <c r="Z131" s="22"/>
    </row>
    <row r="132" spans="26:26" x14ac:dyDescent="0.2">
      <c r="Z132" s="22"/>
    </row>
    <row r="133" spans="26:26" x14ac:dyDescent="0.2">
      <c r="Z133" s="22"/>
    </row>
    <row r="134" spans="26:26" x14ac:dyDescent="0.2">
      <c r="Z134" s="22"/>
    </row>
    <row r="135" spans="26:26" x14ac:dyDescent="0.2">
      <c r="Z135" s="22"/>
    </row>
    <row r="136" spans="26:26" x14ac:dyDescent="0.2">
      <c r="Z136" s="22"/>
    </row>
    <row r="137" spans="26:26" x14ac:dyDescent="0.2">
      <c r="Z137" s="22"/>
    </row>
    <row r="138" spans="26:26" x14ac:dyDescent="0.2">
      <c r="Z138" s="22"/>
    </row>
    <row r="139" spans="26:26" x14ac:dyDescent="0.2">
      <c r="Z139" s="22"/>
    </row>
    <row r="140" spans="26:26" x14ac:dyDescent="0.2">
      <c r="Z140" s="22"/>
    </row>
    <row r="141" spans="26:26" x14ac:dyDescent="0.2">
      <c r="Z141" s="22"/>
    </row>
    <row r="142" spans="26:26" x14ac:dyDescent="0.2">
      <c r="Z142" s="22"/>
    </row>
    <row r="143" spans="26:26" x14ac:dyDescent="0.2">
      <c r="Z143" s="22"/>
    </row>
    <row r="144" spans="26:26" x14ac:dyDescent="0.2">
      <c r="Z144" s="22"/>
    </row>
    <row r="145" spans="26:26" x14ac:dyDescent="0.2">
      <c r="Z145" s="22"/>
    </row>
    <row r="146" spans="26:26" x14ac:dyDescent="0.2">
      <c r="Z146" s="22"/>
    </row>
    <row r="147" spans="26:26" x14ac:dyDescent="0.2">
      <c r="Z147" s="22"/>
    </row>
    <row r="148" spans="26:26" x14ac:dyDescent="0.2">
      <c r="Z148" s="22"/>
    </row>
    <row r="149" spans="26:26" x14ac:dyDescent="0.2">
      <c r="Z149" s="22"/>
    </row>
    <row r="150" spans="26:26" x14ac:dyDescent="0.2">
      <c r="Z150" s="22"/>
    </row>
    <row r="151" spans="26:26" x14ac:dyDescent="0.2">
      <c r="Z151" s="22"/>
    </row>
    <row r="152" spans="26:26" x14ac:dyDescent="0.2">
      <c r="Z152" s="22"/>
    </row>
    <row r="153" spans="26:26" x14ac:dyDescent="0.2">
      <c r="Z153" s="22"/>
    </row>
    <row r="154" spans="26:26" x14ac:dyDescent="0.2">
      <c r="Z154" s="22"/>
    </row>
    <row r="155" spans="26:26" x14ac:dyDescent="0.2">
      <c r="Z155" s="22"/>
    </row>
    <row r="156" spans="26:26" x14ac:dyDescent="0.2">
      <c r="Z156" s="22"/>
    </row>
    <row r="157" spans="26:26" x14ac:dyDescent="0.2">
      <c r="Z157" s="22"/>
    </row>
    <row r="158" spans="26:26" x14ac:dyDescent="0.2">
      <c r="Z158" s="22"/>
    </row>
    <row r="159" spans="26:26" x14ac:dyDescent="0.2">
      <c r="Z159" s="22"/>
    </row>
    <row r="160" spans="26:26" x14ac:dyDescent="0.2">
      <c r="Z160" s="22"/>
    </row>
    <row r="161" spans="26:26" x14ac:dyDescent="0.2">
      <c r="Z161" s="22"/>
    </row>
    <row r="162" spans="26:26" x14ac:dyDescent="0.2">
      <c r="Z162" s="22"/>
    </row>
    <row r="163" spans="26:26" x14ac:dyDescent="0.2">
      <c r="Z163" s="22"/>
    </row>
    <row r="164" spans="26:26" x14ac:dyDescent="0.2">
      <c r="Z164" s="22"/>
    </row>
    <row r="165" spans="26:26" x14ac:dyDescent="0.2">
      <c r="Z165" s="22"/>
    </row>
    <row r="166" spans="26:26" x14ac:dyDescent="0.2">
      <c r="Z166" s="22"/>
    </row>
    <row r="167" spans="26:26" x14ac:dyDescent="0.2">
      <c r="Z167" s="22"/>
    </row>
    <row r="168" spans="26:26" x14ac:dyDescent="0.2">
      <c r="Z168" s="22"/>
    </row>
    <row r="169" spans="26:26" x14ac:dyDescent="0.2">
      <c r="Z169" s="22"/>
    </row>
    <row r="170" spans="26:26" x14ac:dyDescent="0.2">
      <c r="Z170" s="22"/>
    </row>
    <row r="171" spans="26:26" x14ac:dyDescent="0.2">
      <c r="Z171" s="22"/>
    </row>
    <row r="172" spans="26:26" x14ac:dyDescent="0.2">
      <c r="Z172" s="22"/>
    </row>
    <row r="173" spans="26:26" x14ac:dyDescent="0.2">
      <c r="Z173" s="22"/>
    </row>
    <row r="174" spans="26:26" x14ac:dyDescent="0.2">
      <c r="Z174" s="22"/>
    </row>
    <row r="175" spans="26:26" x14ac:dyDescent="0.2">
      <c r="Z175" s="22"/>
    </row>
    <row r="176" spans="26:26" x14ac:dyDescent="0.2">
      <c r="Z176" s="22"/>
    </row>
    <row r="177" spans="26:26" x14ac:dyDescent="0.2">
      <c r="Z177" s="22"/>
    </row>
    <row r="178" spans="26:26" x14ac:dyDescent="0.2">
      <c r="Z178" s="22"/>
    </row>
    <row r="179" spans="26:26" x14ac:dyDescent="0.2">
      <c r="Z179" s="22"/>
    </row>
    <row r="180" spans="26:26" x14ac:dyDescent="0.2">
      <c r="Z180" s="22"/>
    </row>
    <row r="181" spans="26:26" x14ac:dyDescent="0.2">
      <c r="Z181" s="22"/>
    </row>
    <row r="182" spans="26:26" x14ac:dyDescent="0.2">
      <c r="Z182" s="22"/>
    </row>
    <row r="183" spans="26:26" x14ac:dyDescent="0.2">
      <c r="Z183" s="22"/>
    </row>
    <row r="184" spans="26:26" x14ac:dyDescent="0.2">
      <c r="Z184" s="22"/>
    </row>
    <row r="185" spans="26:26" x14ac:dyDescent="0.2">
      <c r="Z185" s="22"/>
    </row>
    <row r="186" spans="26:26" x14ac:dyDescent="0.2">
      <c r="Z186" s="22"/>
    </row>
    <row r="187" spans="26:26" x14ac:dyDescent="0.2">
      <c r="Z187" s="22"/>
    </row>
    <row r="188" spans="26:26" x14ac:dyDescent="0.2">
      <c r="Z188" s="22"/>
    </row>
    <row r="189" spans="26:26" x14ac:dyDescent="0.2">
      <c r="Z189" s="22"/>
    </row>
    <row r="190" spans="26:26" x14ac:dyDescent="0.2">
      <c r="Z190" s="22"/>
    </row>
    <row r="191" spans="26:26" x14ac:dyDescent="0.2">
      <c r="Z191" s="22"/>
    </row>
    <row r="192" spans="26:26" x14ac:dyDescent="0.2">
      <c r="Z192" s="22"/>
    </row>
    <row r="193" spans="26:26" x14ac:dyDescent="0.2">
      <c r="Z193" s="22"/>
    </row>
    <row r="194" spans="26:26" x14ac:dyDescent="0.2">
      <c r="Z194" s="22"/>
    </row>
    <row r="195" spans="26:26" x14ac:dyDescent="0.2">
      <c r="Z195" s="22"/>
    </row>
    <row r="196" spans="26:26" x14ac:dyDescent="0.2">
      <c r="Z196" s="22"/>
    </row>
    <row r="197" spans="26:26" x14ac:dyDescent="0.2">
      <c r="Z197" s="22"/>
    </row>
    <row r="198" spans="26:26" x14ac:dyDescent="0.2">
      <c r="Z198" s="22"/>
    </row>
    <row r="199" spans="26:26" x14ac:dyDescent="0.2">
      <c r="Z199" s="22"/>
    </row>
    <row r="200" spans="26:26" x14ac:dyDescent="0.2">
      <c r="Z200" s="22"/>
    </row>
    <row r="201" spans="26:26" x14ac:dyDescent="0.2">
      <c r="Z201" s="22"/>
    </row>
    <row r="202" spans="26:26" x14ac:dyDescent="0.2">
      <c r="Z202" s="22"/>
    </row>
    <row r="203" spans="26:26" x14ac:dyDescent="0.2">
      <c r="Z203" s="22"/>
    </row>
    <row r="204" spans="26:26" x14ac:dyDescent="0.2">
      <c r="Z204" s="22"/>
    </row>
    <row r="205" spans="26:26" x14ac:dyDescent="0.2">
      <c r="Z205" s="22"/>
    </row>
    <row r="206" spans="26:26" x14ac:dyDescent="0.2">
      <c r="Z206" s="22"/>
    </row>
    <row r="207" spans="26:26" x14ac:dyDescent="0.2">
      <c r="Z207" s="22"/>
    </row>
    <row r="208" spans="26:26" x14ac:dyDescent="0.2">
      <c r="Z208" s="22"/>
    </row>
    <row r="209" spans="26:26" x14ac:dyDescent="0.2">
      <c r="Z209" s="22"/>
    </row>
    <row r="210" spans="26:26" x14ac:dyDescent="0.2">
      <c r="Z210" s="22"/>
    </row>
    <row r="211" spans="26:26" x14ac:dyDescent="0.2">
      <c r="Z211" s="22"/>
    </row>
    <row r="212" spans="26:26" x14ac:dyDescent="0.2">
      <c r="Z212" s="22"/>
    </row>
    <row r="213" spans="26:26" x14ac:dyDescent="0.2">
      <c r="Z213" s="22"/>
    </row>
    <row r="214" spans="26:26" x14ac:dyDescent="0.2">
      <c r="Z214" s="22"/>
    </row>
    <row r="215" spans="26:26" x14ac:dyDescent="0.2">
      <c r="Z215" s="22"/>
    </row>
    <row r="216" spans="26:26" x14ac:dyDescent="0.2">
      <c r="Z216" s="22"/>
    </row>
    <row r="217" spans="26:26" x14ac:dyDescent="0.2">
      <c r="Z217" s="22"/>
    </row>
    <row r="218" spans="26:26" x14ac:dyDescent="0.2">
      <c r="Z218" s="22"/>
    </row>
    <row r="219" spans="26:26" x14ac:dyDescent="0.2">
      <c r="Z219" s="22"/>
    </row>
    <row r="220" spans="26:26" x14ac:dyDescent="0.2">
      <c r="Z220" s="22"/>
    </row>
  </sheetData>
  <dataValidations count="1">
    <dataValidation type="list" allowBlank="1" showInputMessage="1" showErrorMessage="1" sqref="B2:Y2">
      <formula1>#REF!</formula1>
    </dataValidation>
  </dataValidations>
  <pageMargins left="0.75" right="0.75" top="1" bottom="1" header="0.5" footer="0.5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FY2015</vt:lpstr>
      <vt:lpstr>FY2014</vt:lpstr>
      <vt:lpstr>FY2013</vt:lpstr>
      <vt:lpstr>FY2012</vt:lpstr>
      <vt:lpstr>FY2011</vt:lpstr>
      <vt:lpstr>'FY2011'!Print_Area</vt:lpstr>
      <vt:lpstr>'FY2012'!Print_Area</vt:lpstr>
      <vt:lpstr>'FY2013'!Print_Area</vt:lpstr>
      <vt:lpstr>'FY2014'!Print_Area</vt:lpstr>
      <vt:lpstr>'FY2015'!Print_Area</vt:lpstr>
      <vt:lpstr>'FY2011'!Print_Titles</vt:lpstr>
      <vt:lpstr>'FY2012'!Print_Titles</vt:lpstr>
      <vt:lpstr>'FY2013'!Print_Titles</vt:lpstr>
      <vt:lpstr>'FY2014'!Print_Titles</vt:lpstr>
      <vt:lpstr>'FY2015'!Print_Titles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Elva Martinez</dc:creator>
  <cp:lastModifiedBy>Justin Groll</cp:lastModifiedBy>
  <cp:lastPrinted>2011-09-28T15:05:35Z</cp:lastPrinted>
  <dcterms:created xsi:type="dcterms:W3CDTF">2003-12-10T18:58:13Z</dcterms:created>
  <dcterms:modified xsi:type="dcterms:W3CDTF">2016-06-01T20:00:14Z</dcterms:modified>
</cp:coreProperties>
</file>